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3425" firstSheet="1" activeTab="5"/>
  </bookViews>
  <sheets>
    <sheet name="Jmený seznam" sheetId="1" state="hidden" r:id="rId1"/>
    <sheet name="RZ" sheetId="2" r:id="rId2"/>
    <sheet name="LRU" sheetId="3" r:id="rId3"/>
    <sheet name="RT" sheetId="4" r:id="rId4"/>
    <sheet name="Jednotlivci" sheetId="5" r:id="rId5"/>
    <sheet name="Družstva" sheetId="6" r:id="rId6"/>
    <sheet name="RT-dálka 1" sheetId="7" state="hidden" r:id="rId7"/>
    <sheet name="RT-dálka 2" sheetId="8" state="hidden" r:id="rId8"/>
    <sheet name="RT-dálka 3" sheetId="9" state="hidden" r:id="rId9"/>
  </sheets>
  <definedNames>
    <definedName name="_xlnm.Print_Area" localSheetId="3">'RT'!$A$1:$Z$52</definedName>
  </definedNames>
  <calcPr fullCalcOnLoad="1"/>
</workbook>
</file>

<file path=xl/sharedStrings.xml><?xml version="1.0" encoding="utf-8"?>
<sst xmlns="http://schemas.openxmlformats.org/spreadsheetml/2006/main" count="591" uniqueCount="168">
  <si>
    <t>Družstvo</t>
  </si>
  <si>
    <t>RYBÁŘSKÉ ZNALOSTI</t>
  </si>
  <si>
    <t>Jmený seznam</t>
  </si>
  <si>
    <t>Start č.</t>
  </si>
  <si>
    <t>Jméno příjmení</t>
  </si>
  <si>
    <t>kat.</t>
  </si>
  <si>
    <t>Start. č.</t>
  </si>
  <si>
    <t>Test</t>
  </si>
  <si>
    <t>Ryby</t>
  </si>
  <si>
    <t>Rostl.</t>
  </si>
  <si>
    <t>živoč.</t>
  </si>
  <si>
    <t>1. Závod</t>
  </si>
  <si>
    <t xml:space="preserve">Body </t>
  </si>
  <si>
    <t>Pořadí</t>
  </si>
  <si>
    <t>Součet pořadí</t>
  </si>
  <si>
    <t>Příjmení a jméno</t>
  </si>
  <si>
    <t>Pořadí celkem</t>
  </si>
  <si>
    <t>Kat.</t>
  </si>
  <si>
    <t>2. Závod</t>
  </si>
  <si>
    <t>Jednotlivci</t>
  </si>
  <si>
    <t>ž</t>
  </si>
  <si>
    <t>Družstva</t>
  </si>
  <si>
    <t>Sektor</t>
  </si>
  <si>
    <t>Lešek Tomáš</t>
  </si>
  <si>
    <t>žk</t>
  </si>
  <si>
    <t>CIPS</t>
  </si>
  <si>
    <t>j</t>
  </si>
  <si>
    <t>Tomšíková Veronika</t>
  </si>
  <si>
    <t>Sk.</t>
  </si>
  <si>
    <t>Čís.</t>
  </si>
  <si>
    <t>Benešová Karolína</t>
  </si>
  <si>
    <t>A</t>
  </si>
  <si>
    <t>B</t>
  </si>
  <si>
    <t>C</t>
  </si>
  <si>
    <t>D</t>
  </si>
  <si>
    <t>E</t>
  </si>
  <si>
    <t>F</t>
  </si>
  <si>
    <t>Rybolovná technika</t>
  </si>
  <si>
    <t>Disciplína</t>
  </si>
  <si>
    <t>D1</t>
  </si>
  <si>
    <t>D2</t>
  </si>
  <si>
    <t>D3</t>
  </si>
  <si>
    <t>D4</t>
  </si>
  <si>
    <t>D5</t>
  </si>
  <si>
    <t>Pětiboj</t>
  </si>
  <si>
    <t>pořadí</t>
  </si>
  <si>
    <t>I.Hod</t>
  </si>
  <si>
    <t>II.Hod</t>
  </si>
  <si>
    <t>Celkem</t>
  </si>
  <si>
    <t>(m)</t>
  </si>
  <si>
    <t>(b.)</t>
  </si>
  <si>
    <t>Start.č.</t>
  </si>
  <si>
    <t>CELKOVÉ HODNOCENÍ JEDNOTLIVCŮ</t>
  </si>
  <si>
    <t>Jméno a příjmení</t>
  </si>
  <si>
    <t>RZ</t>
  </si>
  <si>
    <t>LRU</t>
  </si>
  <si>
    <t>RT</t>
  </si>
  <si>
    <t>CELKOVÉ HODNOCENÍ DRUŽSTEV</t>
  </si>
  <si>
    <t>Součet</t>
  </si>
  <si>
    <t>Počet žáků</t>
  </si>
  <si>
    <t>Počet žákyň</t>
  </si>
  <si>
    <t>Počet juniorů</t>
  </si>
  <si>
    <t>Počet družstev</t>
  </si>
  <si>
    <t>Sepekář Milan</t>
  </si>
  <si>
    <t>Strupek Matěj</t>
  </si>
  <si>
    <t>Nusko Petr</t>
  </si>
  <si>
    <t>Lov ryb udicí</t>
  </si>
  <si>
    <t>Hurníková Martina</t>
  </si>
  <si>
    <t>Hurníková Markéta</t>
  </si>
  <si>
    <t>Hurníková Michaela</t>
  </si>
  <si>
    <t>Těšínský Jindřich</t>
  </si>
  <si>
    <t>Tvrdá Nikola</t>
  </si>
  <si>
    <t>Česenek Jan</t>
  </si>
  <si>
    <t>Dresler Dominik</t>
  </si>
  <si>
    <t>Bernatík Tomáš</t>
  </si>
  <si>
    <t>Wróblová Taťána</t>
  </si>
  <si>
    <t>Zemánková Johanka</t>
  </si>
  <si>
    <t>Kepáková Natálie</t>
  </si>
  <si>
    <t>Tichý Štefan</t>
  </si>
  <si>
    <t>Schleiss Jakub</t>
  </si>
  <si>
    <t>Schleiss Stanislav</t>
  </si>
  <si>
    <t>Vejvančický Matěj</t>
  </si>
  <si>
    <t>Havránek David</t>
  </si>
  <si>
    <t>Hynčíková Nina</t>
  </si>
  <si>
    <t>Holub Ondřej</t>
  </si>
  <si>
    <t>Honzírek Ondřej</t>
  </si>
  <si>
    <t>Bombera Jan</t>
  </si>
  <si>
    <t>Traj Robert</t>
  </si>
  <si>
    <t>Juříček Jakub</t>
  </si>
  <si>
    <t>Koblihová Kristýna</t>
  </si>
  <si>
    <t>Zavadil Radek</t>
  </si>
  <si>
    <t>Hašek Marek</t>
  </si>
  <si>
    <t>Joneš Jan</t>
  </si>
  <si>
    <t>Mencl Michal</t>
  </si>
  <si>
    <t>Bastl Tomáš</t>
  </si>
  <si>
    <t>Šimůnková Markéta</t>
  </si>
  <si>
    <t>Vejs David</t>
  </si>
  <si>
    <t>Merhaut Petr</t>
  </si>
  <si>
    <t>Knobloch Jan</t>
  </si>
  <si>
    <t>Richter Jiří</t>
  </si>
  <si>
    <t>Farský Jaromír</t>
  </si>
  <si>
    <t>Žejdl Ondřej</t>
  </si>
  <si>
    <t>Červenková Jana</t>
  </si>
  <si>
    <t>Červenka Jiří</t>
  </si>
  <si>
    <t>Šedivý Vojtěch</t>
  </si>
  <si>
    <t>Caltová Zuzana</t>
  </si>
  <si>
    <t>Město Praha</t>
  </si>
  <si>
    <t>Moravskoslezský</t>
  </si>
  <si>
    <t>Západočeský</t>
  </si>
  <si>
    <t>MRS Brno</t>
  </si>
  <si>
    <t>Východočeský</t>
  </si>
  <si>
    <t>Severočeský</t>
  </si>
  <si>
    <t>Středočeský</t>
  </si>
  <si>
    <t>Jihočeský</t>
  </si>
  <si>
    <t>rank ž</t>
  </si>
  <si>
    <t>rank žk</t>
  </si>
  <si>
    <t>rank j</t>
  </si>
  <si>
    <t xml:space="preserve">poz. ž </t>
  </si>
  <si>
    <t>poz. žk</t>
  </si>
  <si>
    <t>poz.j</t>
  </si>
  <si>
    <t>I. rank ž</t>
  </si>
  <si>
    <t>I. rank žk</t>
  </si>
  <si>
    <t>I. rank j</t>
  </si>
  <si>
    <t>(S+R)  ž</t>
  </si>
  <si>
    <t>(S+R)  žk</t>
  </si>
  <si>
    <t>(S+R)  j</t>
  </si>
  <si>
    <t>poz.rank ž</t>
  </si>
  <si>
    <t>poz.rank žk</t>
  </si>
  <si>
    <t>poz.rank j</t>
  </si>
  <si>
    <t>ryb. ž</t>
  </si>
  <si>
    <t>ryb. žk</t>
  </si>
  <si>
    <t>ryb. j</t>
  </si>
  <si>
    <t>II. rank ž</t>
  </si>
  <si>
    <t>II. rank žk</t>
  </si>
  <si>
    <t>II. rank j</t>
  </si>
  <si>
    <t>(R+R)  ž</t>
  </si>
  <si>
    <t>(R+R)  žk</t>
  </si>
  <si>
    <t>(R+R)  j</t>
  </si>
  <si>
    <t>ryb.rank ž</t>
  </si>
  <si>
    <t>ryb.rank žk</t>
  </si>
  <si>
    <t>ryb.rank j</t>
  </si>
  <si>
    <t>countif ž</t>
  </si>
  <si>
    <t>countif žk</t>
  </si>
  <si>
    <t>countif j</t>
  </si>
  <si>
    <t>d</t>
  </si>
  <si>
    <t>"+1"</t>
  </si>
  <si>
    <t>a</t>
  </si>
  <si>
    <t>b</t>
  </si>
  <si>
    <t>c</t>
  </si>
  <si>
    <t>e</t>
  </si>
  <si>
    <t>f</t>
  </si>
  <si>
    <t>Ž</t>
  </si>
  <si>
    <t>J</t>
  </si>
  <si>
    <t>ŽK</t>
  </si>
  <si>
    <t>cou ž</t>
  </si>
  <si>
    <t>cou žk</t>
  </si>
  <si>
    <t>cou j</t>
  </si>
  <si>
    <t>rank</t>
  </si>
  <si>
    <t>countif</t>
  </si>
  <si>
    <t>rank+</t>
  </si>
  <si>
    <t xml:space="preserve">I.rank </t>
  </si>
  <si>
    <t>Kasalová Marie</t>
  </si>
  <si>
    <t>Linhart Jan</t>
  </si>
  <si>
    <t>Dvořák Matěj</t>
  </si>
  <si>
    <t>Jméno</t>
  </si>
  <si>
    <t>I. Hod</t>
  </si>
  <si>
    <t>III.Hod</t>
  </si>
  <si>
    <t>číslo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</si>
</sst>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71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20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theme="0"/>
      <name val="Calibri"/>
      <family val="2"/>
    </font>
    <font>
      <b/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0000"/>
      <name val="Calibri"/>
      <family val="2"/>
    </font>
    <font>
      <b/>
      <sz val="22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>
        <color rgb="FF000000"/>
      </left>
      <right/>
      <top/>
      <bottom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/>
      <top style="thin"/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>
        <color rgb="FF000000"/>
      </left>
      <right/>
      <top style="medium">
        <color rgb="FF000000"/>
      </top>
      <bottom/>
    </border>
    <border>
      <left/>
      <right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medium"/>
      <right style="thin">
        <color rgb="FF000000"/>
      </right>
      <top/>
      <bottom style="medium">
        <color rgb="FF000000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thin"/>
      <right/>
      <top/>
      <bottom style="medium"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9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center" vertical="center" textRotation="90" shrinkToFit="1"/>
    </xf>
    <xf numFmtId="0" fontId="0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56" fillId="0" borderId="21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shrinkToFi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shrinkToFit="1"/>
    </xf>
    <xf numFmtId="0" fontId="57" fillId="0" borderId="12" xfId="0" applyFont="1" applyBorder="1" applyAlignment="1">
      <alignment horizontal="left"/>
    </xf>
    <xf numFmtId="0" fontId="57" fillId="0" borderId="14" xfId="0" applyFont="1" applyBorder="1" applyAlignment="1">
      <alignment horizontal="left"/>
    </xf>
    <xf numFmtId="0" fontId="0" fillId="0" borderId="24" xfId="0" applyFont="1" applyBorder="1" applyAlignment="1">
      <alignment shrinkToFi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58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1" xfId="0" applyFont="1" applyBorder="1" applyAlignment="1">
      <alignment horizontal="center" vertical="center" textRotation="90"/>
    </xf>
    <xf numFmtId="0" fontId="6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0" fillId="0" borderId="39" xfId="0" applyFont="1" applyBorder="1" applyAlignment="1">
      <alignment horizontal="center"/>
    </xf>
    <xf numFmtId="0" fontId="60" fillId="0" borderId="40" xfId="0" applyFont="1" applyBorder="1" applyAlignment="1">
      <alignment horizontal="center"/>
    </xf>
    <xf numFmtId="0" fontId="60" fillId="0" borderId="4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33" borderId="43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57" fillId="0" borderId="44" xfId="0" applyFont="1" applyBorder="1" applyAlignment="1">
      <alignment vertical="center" wrapText="1"/>
    </xf>
    <xf numFmtId="0" fontId="0" fillId="0" borderId="45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33" borderId="45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57" fillId="0" borderId="46" xfId="0" applyFont="1" applyBorder="1" applyAlignment="1">
      <alignment vertical="center" wrapText="1"/>
    </xf>
    <xf numFmtId="0" fontId="57" fillId="0" borderId="47" xfId="0" applyFont="1" applyBorder="1" applyAlignment="1">
      <alignment vertical="center" wrapText="1"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33" borderId="48" xfId="0" applyFont="1" applyFill="1" applyBorder="1" applyAlignment="1">
      <alignment/>
    </xf>
    <xf numFmtId="0" fontId="0" fillId="34" borderId="4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textRotation="90"/>
    </xf>
    <xf numFmtId="0" fontId="0" fillId="0" borderId="49" xfId="0" applyFont="1" applyBorder="1" applyAlignment="1">
      <alignment horizontal="center" vertical="center" textRotation="90" shrinkToFit="1"/>
    </xf>
    <xf numFmtId="0" fontId="0" fillId="0" borderId="49" xfId="0" applyFont="1" applyBorder="1" applyAlignment="1">
      <alignment horizontal="center" vertical="center" textRotation="90" wrapText="1"/>
    </xf>
    <xf numFmtId="0" fontId="0" fillId="0" borderId="50" xfId="0" applyFont="1" applyBorder="1" applyAlignment="1">
      <alignment horizontal="center" vertical="center" textRotation="90" wrapText="1"/>
    </xf>
    <xf numFmtId="0" fontId="57" fillId="0" borderId="51" xfId="0" applyFont="1" applyBorder="1" applyAlignment="1">
      <alignment vertical="center" wrapText="1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33" borderId="52" xfId="0" applyFont="1" applyFill="1" applyBorder="1" applyAlignment="1">
      <alignment/>
    </xf>
    <xf numFmtId="0" fontId="0" fillId="34" borderId="52" xfId="0" applyFont="1" applyFill="1" applyBorder="1" applyAlignment="1">
      <alignment/>
    </xf>
    <xf numFmtId="0" fontId="0" fillId="0" borderId="49" xfId="0" applyFont="1" applyBorder="1" applyAlignment="1">
      <alignment horizontal="center" vertical="center" textRotation="90"/>
    </xf>
    <xf numFmtId="0" fontId="0" fillId="33" borderId="43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0" fillId="35" borderId="48" xfId="0" applyFont="1" applyFill="1" applyBorder="1" applyAlignment="1">
      <alignment/>
    </xf>
    <xf numFmtId="0" fontId="0" fillId="35" borderId="52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0" fillId="36" borderId="45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55" fillId="0" borderId="0" xfId="0" applyFont="1" applyAlignment="1">
      <alignment/>
    </xf>
    <xf numFmtId="0" fontId="39" fillId="0" borderId="0" xfId="0" applyFont="1" applyAlignment="1">
      <alignment/>
    </xf>
    <xf numFmtId="0" fontId="2" fillId="35" borderId="45" xfId="0" applyFont="1" applyFill="1" applyBorder="1" applyAlignment="1">
      <alignment/>
    </xf>
    <xf numFmtId="0" fontId="0" fillId="0" borderId="53" xfId="0" applyFont="1" applyBorder="1" applyAlignment="1">
      <alignment horizontal="center" vertical="center" textRotation="90"/>
    </xf>
    <xf numFmtId="0" fontId="2" fillId="35" borderId="43" xfId="0" applyFont="1" applyFill="1" applyBorder="1" applyAlignment="1">
      <alignment/>
    </xf>
    <xf numFmtId="0" fontId="0" fillId="36" borderId="48" xfId="0" applyFont="1" applyFill="1" applyBorder="1" applyAlignment="1">
      <alignment/>
    </xf>
    <xf numFmtId="0" fontId="2" fillId="35" borderId="48" xfId="0" applyFont="1" applyFill="1" applyBorder="1" applyAlignment="1">
      <alignment/>
    </xf>
    <xf numFmtId="0" fontId="0" fillId="36" borderId="52" xfId="0" applyFont="1" applyFill="1" applyBorder="1" applyAlignment="1">
      <alignment/>
    </xf>
    <xf numFmtId="0" fontId="2" fillId="35" borderId="52" xfId="0" applyFont="1" applyFill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2" fillId="37" borderId="45" xfId="0" applyFont="1" applyFill="1" applyBorder="1" applyAlignment="1">
      <alignment/>
    </xf>
    <xf numFmtId="0" fontId="2" fillId="37" borderId="43" xfId="0" applyFont="1" applyFill="1" applyBorder="1" applyAlignment="1">
      <alignment/>
    </xf>
    <xf numFmtId="0" fontId="2" fillId="37" borderId="52" xfId="0" applyFont="1" applyFill="1" applyBorder="1" applyAlignment="1">
      <alignment/>
    </xf>
    <xf numFmtId="0" fontId="2" fillId="37" borderId="48" xfId="0" applyFont="1" applyFill="1" applyBorder="1" applyAlignment="1">
      <alignment/>
    </xf>
    <xf numFmtId="0" fontId="2" fillId="38" borderId="45" xfId="0" applyFont="1" applyFill="1" applyBorder="1" applyAlignment="1">
      <alignment/>
    </xf>
    <xf numFmtId="0" fontId="2" fillId="38" borderId="43" xfId="0" applyFont="1" applyFill="1" applyBorder="1" applyAlignment="1">
      <alignment/>
    </xf>
    <xf numFmtId="0" fontId="2" fillId="38" borderId="52" xfId="0" applyFont="1" applyFill="1" applyBorder="1" applyAlignment="1">
      <alignment/>
    </xf>
    <xf numFmtId="0" fontId="2" fillId="38" borderId="48" xfId="0" applyFont="1" applyFill="1" applyBorder="1" applyAlignment="1">
      <alignment/>
    </xf>
    <xf numFmtId="0" fontId="2" fillId="38" borderId="49" xfId="0" applyFont="1" applyFill="1" applyBorder="1" applyAlignment="1">
      <alignment/>
    </xf>
    <xf numFmtId="0" fontId="2" fillId="37" borderId="49" xfId="0" applyFont="1" applyFill="1" applyBorder="1" applyAlignment="1">
      <alignment/>
    </xf>
    <xf numFmtId="0" fontId="0" fillId="34" borderId="49" xfId="0" applyFont="1" applyFill="1" applyBorder="1" applyAlignment="1">
      <alignment/>
    </xf>
    <xf numFmtId="0" fontId="0" fillId="0" borderId="4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3" xfId="0" applyFont="1" applyBorder="1" applyAlignment="1">
      <alignment horizontal="center" vertical="center" textRotation="90" shrinkToFit="1"/>
    </xf>
    <xf numFmtId="0" fontId="61" fillId="0" borderId="4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/>
    </xf>
    <xf numFmtId="0" fontId="0" fillId="0" borderId="45" xfId="0" applyFont="1" applyBorder="1" applyAlignment="1">
      <alignment horizontal="center" vertical="center" textRotation="90"/>
    </xf>
    <xf numFmtId="0" fontId="0" fillId="0" borderId="59" xfId="0" applyFont="1" applyBorder="1" applyAlignment="1">
      <alignment horizontal="center" vertical="center" textRotation="90" shrinkToFit="1"/>
    </xf>
    <xf numFmtId="0" fontId="62" fillId="0" borderId="52" xfId="0" applyFont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 horizontal="center" vertical="center"/>
    </xf>
    <xf numFmtId="0" fontId="60" fillId="0" borderId="48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 textRotation="90"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 horizontal="center" vertical="center"/>
    </xf>
    <xf numFmtId="2" fontId="0" fillId="33" borderId="45" xfId="0" applyNumberFormat="1" applyFont="1" applyFill="1" applyBorder="1" applyAlignment="1">
      <alignment horizontal="center"/>
    </xf>
    <xf numFmtId="2" fontId="0" fillId="33" borderId="43" xfId="0" applyNumberFormat="1" applyFont="1" applyFill="1" applyBorder="1" applyAlignment="1">
      <alignment horizontal="center"/>
    </xf>
    <xf numFmtId="2" fontId="0" fillId="33" borderId="48" xfId="0" applyNumberFormat="1" applyFont="1" applyFill="1" applyBorder="1" applyAlignment="1">
      <alignment horizontal="center"/>
    </xf>
    <xf numFmtId="0" fontId="0" fillId="34" borderId="45" xfId="0" applyNumberFormat="1" applyFont="1" applyFill="1" applyBorder="1" applyAlignment="1">
      <alignment horizontal="center"/>
    </xf>
    <xf numFmtId="0" fontId="0" fillId="34" borderId="43" xfId="0" applyNumberFormat="1" applyFont="1" applyFill="1" applyBorder="1" applyAlignment="1">
      <alignment horizontal="center"/>
    </xf>
    <xf numFmtId="0" fontId="0" fillId="34" borderId="48" xfId="0" applyNumberFormat="1" applyFont="1" applyFill="1" applyBorder="1" applyAlignment="1">
      <alignment horizontal="center"/>
    </xf>
    <xf numFmtId="0" fontId="0" fillId="34" borderId="49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2" fontId="0" fillId="0" borderId="45" xfId="0" applyNumberFormat="1" applyFont="1" applyBorder="1" applyAlignment="1">
      <alignment horizontal="center" shrinkToFit="1"/>
    </xf>
    <xf numFmtId="0" fontId="0" fillId="0" borderId="54" xfId="0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2" fontId="0" fillId="0" borderId="43" xfId="0" applyNumberFormat="1" applyFont="1" applyBorder="1" applyAlignment="1">
      <alignment horizontal="center" shrinkToFit="1"/>
    </xf>
    <xf numFmtId="0" fontId="0" fillId="0" borderId="55" xfId="0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2" fontId="0" fillId="0" borderId="48" xfId="0" applyNumberFormat="1" applyFont="1" applyBorder="1" applyAlignment="1">
      <alignment horizontal="center" shrinkToFit="1"/>
    </xf>
    <xf numFmtId="0" fontId="0" fillId="0" borderId="56" xfId="0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2" fontId="0" fillId="0" borderId="65" xfId="0" applyNumberFormat="1" applyFont="1" applyBorder="1" applyAlignment="1">
      <alignment horizontal="center" shrinkToFit="1"/>
    </xf>
    <xf numFmtId="0" fontId="0" fillId="0" borderId="66" xfId="0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2" fontId="0" fillId="0" borderId="52" xfId="0" applyNumberFormat="1" applyFont="1" applyBorder="1" applyAlignment="1">
      <alignment horizontal="center" shrinkToFit="1"/>
    </xf>
    <xf numFmtId="0" fontId="0" fillId="0" borderId="60" xfId="0" applyFont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60" fillId="0" borderId="5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64" fillId="0" borderId="43" xfId="0" applyFont="1" applyBorder="1" applyAlignment="1">
      <alignment horizontal="center"/>
    </xf>
    <xf numFmtId="0" fontId="64" fillId="0" borderId="44" xfId="0" applyFont="1" applyBorder="1" applyAlignment="1">
      <alignment horizontal="center"/>
    </xf>
    <xf numFmtId="0" fontId="64" fillId="0" borderId="45" xfId="0" applyFont="1" applyBorder="1" applyAlignment="1">
      <alignment horizontal="center"/>
    </xf>
    <xf numFmtId="0" fontId="65" fillId="0" borderId="39" xfId="0" applyFont="1" applyBorder="1" applyAlignment="1">
      <alignment horizontal="center"/>
    </xf>
    <xf numFmtId="0" fontId="64" fillId="0" borderId="46" xfId="0" applyFont="1" applyBorder="1" applyAlignment="1">
      <alignment horizontal="center"/>
    </xf>
    <xf numFmtId="0" fontId="65" fillId="0" borderId="40" xfId="0" applyFont="1" applyBorder="1" applyAlignment="1">
      <alignment horizontal="center"/>
    </xf>
    <xf numFmtId="0" fontId="64" fillId="0" borderId="47" xfId="0" applyFont="1" applyBorder="1" applyAlignment="1">
      <alignment horizontal="center"/>
    </xf>
    <xf numFmtId="0" fontId="64" fillId="0" borderId="48" xfId="0" applyFont="1" applyBorder="1" applyAlignment="1">
      <alignment horizontal="center"/>
    </xf>
    <xf numFmtId="0" fontId="65" fillId="0" borderId="41" xfId="0" applyFont="1" applyBorder="1" applyAlignment="1">
      <alignment horizontal="center"/>
    </xf>
    <xf numFmtId="0" fontId="0" fillId="39" borderId="43" xfId="0" applyFont="1" applyFill="1" applyBorder="1" applyAlignment="1">
      <alignment horizontal="center" vertical="center"/>
    </xf>
    <xf numFmtId="0" fontId="0" fillId="39" borderId="45" xfId="0" applyFont="1" applyFill="1" applyBorder="1" applyAlignment="1">
      <alignment horizontal="center" vertical="center"/>
    </xf>
    <xf numFmtId="0" fontId="0" fillId="39" borderId="48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40" borderId="43" xfId="0" applyFont="1" applyFill="1" applyBorder="1" applyAlignment="1">
      <alignment/>
    </xf>
    <xf numFmtId="0" fontId="0" fillId="41" borderId="43" xfId="0" applyFont="1" applyFill="1" applyBorder="1" applyAlignment="1">
      <alignment/>
    </xf>
    <xf numFmtId="0" fontId="0" fillId="40" borderId="45" xfId="0" applyFont="1" applyFill="1" applyBorder="1" applyAlignment="1">
      <alignment/>
    </xf>
    <xf numFmtId="0" fontId="0" fillId="40" borderId="48" xfId="0" applyFont="1" applyFill="1" applyBorder="1" applyAlignment="1">
      <alignment/>
    </xf>
    <xf numFmtId="0" fontId="0" fillId="41" borderId="48" xfId="0" applyFont="1" applyFill="1" applyBorder="1" applyAlignment="1">
      <alignment/>
    </xf>
    <xf numFmtId="0" fontId="0" fillId="39" borderId="43" xfId="0" applyFont="1" applyFill="1" applyBorder="1" applyAlignment="1">
      <alignment/>
    </xf>
    <xf numFmtId="0" fontId="0" fillId="39" borderId="45" xfId="0" applyFont="1" applyFill="1" applyBorder="1" applyAlignment="1">
      <alignment/>
    </xf>
    <xf numFmtId="0" fontId="0" fillId="39" borderId="48" xfId="0" applyFont="1" applyFill="1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39" borderId="52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40" borderId="52" xfId="0" applyFont="1" applyFill="1" applyBorder="1" applyAlignment="1">
      <alignment/>
    </xf>
    <xf numFmtId="0" fontId="0" fillId="0" borderId="69" xfId="0" applyFont="1" applyBorder="1" applyAlignment="1">
      <alignment/>
    </xf>
    <xf numFmtId="0" fontId="0" fillId="39" borderId="5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1" borderId="49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56" fillId="0" borderId="15" xfId="0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/>
    </xf>
    <xf numFmtId="0" fontId="0" fillId="0" borderId="43" xfId="0" applyNumberFormat="1" applyFont="1" applyBorder="1" applyAlignment="1">
      <alignment/>
    </xf>
    <xf numFmtId="0" fontId="0" fillId="0" borderId="52" xfId="0" applyNumberFormat="1" applyFont="1" applyBorder="1" applyAlignment="1">
      <alignment/>
    </xf>
    <xf numFmtId="0" fontId="0" fillId="0" borderId="43" xfId="0" applyNumberFormat="1" applyFont="1" applyBorder="1" applyAlignment="1">
      <alignment/>
    </xf>
    <xf numFmtId="0" fontId="0" fillId="0" borderId="48" xfId="0" applyNumberFormat="1" applyFont="1" applyBorder="1" applyAlignment="1">
      <alignment/>
    </xf>
    <xf numFmtId="0" fontId="60" fillId="0" borderId="15" xfId="0" applyFont="1" applyBorder="1" applyAlignment="1">
      <alignment horizontal="center" vertical="center" shrinkToFit="1"/>
    </xf>
    <xf numFmtId="0" fontId="0" fillId="42" borderId="43" xfId="0" applyFont="1" applyFill="1" applyBorder="1" applyAlignment="1">
      <alignment/>
    </xf>
    <xf numFmtId="0" fontId="0" fillId="42" borderId="48" xfId="0" applyFont="1" applyFill="1" applyBorder="1" applyAlignment="1">
      <alignment/>
    </xf>
    <xf numFmtId="0" fontId="0" fillId="42" borderId="49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6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1" xfId="0" applyFont="1" applyBorder="1" applyAlignment="1">
      <alignment/>
    </xf>
    <xf numFmtId="0" fontId="0" fillId="43" borderId="54" xfId="0" applyFont="1" applyFill="1" applyBorder="1" applyAlignment="1">
      <alignment horizontal="center"/>
    </xf>
    <xf numFmtId="0" fontId="0" fillId="43" borderId="55" xfId="0" applyFont="1" applyFill="1" applyBorder="1" applyAlignment="1">
      <alignment horizontal="center"/>
    </xf>
    <xf numFmtId="0" fontId="0" fillId="43" borderId="60" xfId="0" applyFont="1" applyFill="1" applyBorder="1" applyAlignment="1">
      <alignment horizontal="center"/>
    </xf>
    <xf numFmtId="0" fontId="0" fillId="43" borderId="56" xfId="0" applyFont="1" applyFill="1" applyBorder="1" applyAlignment="1">
      <alignment horizontal="center"/>
    </xf>
    <xf numFmtId="0" fontId="0" fillId="43" borderId="39" xfId="0" applyFont="1" applyFill="1" applyBorder="1" applyAlignment="1">
      <alignment horizontal="center"/>
    </xf>
    <xf numFmtId="0" fontId="0" fillId="43" borderId="40" xfId="0" applyFont="1" applyFill="1" applyBorder="1" applyAlignment="1">
      <alignment horizontal="center"/>
    </xf>
    <xf numFmtId="0" fontId="0" fillId="43" borderId="7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0" fillId="34" borderId="65" xfId="0" applyFont="1" applyFill="1" applyBorder="1" applyAlignment="1">
      <alignment/>
    </xf>
    <xf numFmtId="0" fontId="0" fillId="36" borderId="49" xfId="0" applyFont="1" applyFill="1" applyBorder="1" applyAlignment="1">
      <alignment/>
    </xf>
    <xf numFmtId="0" fontId="0" fillId="36" borderId="45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0" fillId="36" borderId="48" xfId="0" applyFont="1" applyFill="1" applyBorder="1" applyAlignment="1">
      <alignment/>
    </xf>
    <xf numFmtId="0" fontId="60" fillId="0" borderId="49" xfId="0" applyFont="1" applyBorder="1" applyAlignment="1">
      <alignment horizontal="center"/>
    </xf>
    <xf numFmtId="0" fontId="60" fillId="0" borderId="65" xfId="0" applyFont="1" applyBorder="1" applyAlignment="1">
      <alignment horizontal="center"/>
    </xf>
    <xf numFmtId="0" fontId="60" fillId="0" borderId="50" xfId="0" applyFont="1" applyBorder="1" applyAlignment="1">
      <alignment horizontal="center"/>
    </xf>
    <xf numFmtId="0" fontId="0" fillId="34" borderId="7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9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59" fillId="0" borderId="72" xfId="0" applyFont="1" applyBorder="1" applyAlignment="1">
      <alignment horizontal="center"/>
    </xf>
    <xf numFmtId="0" fontId="64" fillId="33" borderId="45" xfId="0" applyFont="1" applyFill="1" applyBorder="1" applyAlignment="1">
      <alignment horizontal="center"/>
    </xf>
    <xf numFmtId="0" fontId="64" fillId="33" borderId="43" xfId="0" applyFont="1" applyFill="1" applyBorder="1" applyAlignment="1">
      <alignment horizontal="center"/>
    </xf>
    <xf numFmtId="0" fontId="64" fillId="33" borderId="48" xfId="0" applyFont="1" applyFill="1" applyBorder="1" applyAlignment="1">
      <alignment horizontal="center"/>
    </xf>
    <xf numFmtId="0" fontId="64" fillId="34" borderId="45" xfId="0" applyFont="1" applyFill="1" applyBorder="1" applyAlignment="1">
      <alignment horizontal="center"/>
    </xf>
    <xf numFmtId="0" fontId="64" fillId="34" borderId="43" xfId="0" applyFont="1" applyFill="1" applyBorder="1" applyAlignment="1">
      <alignment horizontal="center"/>
    </xf>
    <xf numFmtId="0" fontId="64" fillId="34" borderId="48" xfId="0" applyFont="1" applyFill="1" applyBorder="1" applyAlignment="1">
      <alignment horizontal="center"/>
    </xf>
    <xf numFmtId="0" fontId="60" fillId="0" borderId="54" xfId="0" applyFont="1" applyFill="1" applyBorder="1" applyAlignment="1">
      <alignment horizontal="center"/>
    </xf>
    <xf numFmtId="0" fontId="60" fillId="0" borderId="55" xfId="0" applyFont="1" applyFill="1" applyBorder="1" applyAlignment="1">
      <alignment horizontal="center"/>
    </xf>
    <xf numFmtId="0" fontId="60" fillId="0" borderId="60" xfId="0" applyFont="1" applyFill="1" applyBorder="1" applyAlignment="1">
      <alignment horizontal="center"/>
    </xf>
    <xf numFmtId="0" fontId="60" fillId="0" borderId="56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0" xfId="0" applyFont="1" applyFill="1" applyAlignment="1">
      <alignment/>
    </xf>
    <xf numFmtId="0" fontId="6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50" fillId="0" borderId="0" xfId="0" applyFont="1" applyAlignment="1">
      <alignment/>
    </xf>
    <xf numFmtId="0" fontId="0" fillId="0" borderId="46" xfId="0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Alignment="1">
      <alignment/>
    </xf>
    <xf numFmtId="0" fontId="2" fillId="0" borderId="73" xfId="0" applyFont="1" applyBorder="1" applyAlignment="1">
      <alignment/>
    </xf>
    <xf numFmtId="0" fontId="59" fillId="0" borderId="43" xfId="0" applyFont="1" applyBorder="1" applyAlignment="1">
      <alignment/>
    </xf>
    <xf numFmtId="0" fontId="59" fillId="0" borderId="40" xfId="0" applyFont="1" applyBorder="1" applyAlignment="1">
      <alignment/>
    </xf>
    <xf numFmtId="0" fontId="59" fillId="0" borderId="48" xfId="0" applyFont="1" applyBorder="1" applyAlignment="1">
      <alignment/>
    </xf>
    <xf numFmtId="0" fontId="59" fillId="0" borderId="41" xfId="0" applyFont="1" applyBorder="1" applyAlignment="1">
      <alignment/>
    </xf>
    <xf numFmtId="0" fontId="59" fillId="0" borderId="68" xfId="0" applyFont="1" applyBorder="1" applyAlignment="1">
      <alignment horizontal="center"/>
    </xf>
    <xf numFmtId="0" fontId="59" fillId="0" borderId="74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59" fillId="0" borderId="78" xfId="0" applyFont="1" applyBorder="1" applyAlignment="1">
      <alignment horizontal="center"/>
    </xf>
    <xf numFmtId="0" fontId="59" fillId="0" borderId="65" xfId="0" applyFont="1" applyBorder="1" applyAlignment="1">
      <alignment/>
    </xf>
    <xf numFmtId="0" fontId="59" fillId="0" borderId="58" xfId="0" applyFont="1" applyBorder="1" applyAlignment="1">
      <alignment/>
    </xf>
    <xf numFmtId="0" fontId="67" fillId="0" borderId="79" xfId="0" applyFont="1" applyBorder="1" applyAlignment="1">
      <alignment horizontal="center"/>
    </xf>
    <xf numFmtId="0" fontId="58" fillId="0" borderId="80" xfId="0" applyFont="1" applyBorder="1" applyAlignment="1">
      <alignment/>
    </xf>
    <xf numFmtId="0" fontId="58" fillId="0" borderId="81" xfId="0" applyFont="1" applyBorder="1" applyAlignment="1">
      <alignment/>
    </xf>
    <xf numFmtId="0" fontId="58" fillId="0" borderId="82" xfId="0" applyFont="1" applyBorder="1" applyAlignment="1">
      <alignment/>
    </xf>
    <xf numFmtId="0" fontId="58" fillId="0" borderId="83" xfId="0" applyFont="1" applyBorder="1" applyAlignment="1">
      <alignment/>
    </xf>
    <xf numFmtId="0" fontId="67" fillId="0" borderId="84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25" fillId="0" borderId="76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 textRotation="90" shrinkToFit="1"/>
    </xf>
    <xf numFmtId="0" fontId="2" fillId="0" borderId="85" xfId="0" applyFont="1" applyBorder="1" applyAlignment="1">
      <alignment/>
    </xf>
    <xf numFmtId="0" fontId="5" fillId="0" borderId="24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textRotation="90"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0" fillId="0" borderId="86" xfId="0" applyFont="1" applyBorder="1" applyAlignment="1">
      <alignment horizontal="center" vertical="center" textRotation="90"/>
    </xf>
    <xf numFmtId="0" fontId="0" fillId="0" borderId="87" xfId="0" applyFont="1" applyBorder="1" applyAlignment="1">
      <alignment horizontal="center" vertical="center" textRotation="90"/>
    </xf>
    <xf numFmtId="0" fontId="0" fillId="0" borderId="89" xfId="0" applyFont="1" applyBorder="1" applyAlignment="1">
      <alignment horizontal="center" vertical="center" textRotation="90"/>
    </xf>
    <xf numFmtId="0" fontId="2" fillId="0" borderId="89" xfId="0" applyFont="1" applyBorder="1" applyAlignment="1">
      <alignment/>
    </xf>
    <xf numFmtId="0" fontId="0" fillId="0" borderId="90" xfId="0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91" xfId="0" applyFont="1" applyBorder="1" applyAlignment="1">
      <alignment horizontal="center" vertical="center" shrinkToFit="1"/>
    </xf>
    <xf numFmtId="0" fontId="2" fillId="0" borderId="92" xfId="0" applyFont="1" applyBorder="1" applyAlignment="1">
      <alignment/>
    </xf>
    <xf numFmtId="0" fontId="6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60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" fillId="0" borderId="70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/>
    </xf>
    <xf numFmtId="0" fontId="2" fillId="0" borderId="52" xfId="0" applyFont="1" applyBorder="1" applyAlignment="1">
      <alignment/>
    </xf>
    <xf numFmtId="0" fontId="0" fillId="0" borderId="44" xfId="0" applyFont="1" applyBorder="1" applyAlignment="1">
      <alignment horizontal="center" vertical="center" textRotation="90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93" xfId="0" applyFont="1" applyBorder="1" applyAlignment="1">
      <alignment horizontal="center" vertical="center" textRotation="90"/>
    </xf>
    <xf numFmtId="0" fontId="2" fillId="0" borderId="93" xfId="0" applyFont="1" applyBorder="1" applyAlignment="1">
      <alignment/>
    </xf>
    <xf numFmtId="0" fontId="2" fillId="0" borderId="94" xfId="0" applyFont="1" applyBorder="1" applyAlignment="1">
      <alignment/>
    </xf>
    <xf numFmtId="0" fontId="0" fillId="0" borderId="28" xfId="0" applyFont="1" applyBorder="1" applyAlignment="1">
      <alignment horizontal="center" vertical="center" textRotation="90"/>
    </xf>
    <xf numFmtId="0" fontId="2" fillId="0" borderId="48" xfId="0" applyFont="1" applyBorder="1" applyAlignment="1">
      <alignment/>
    </xf>
    <xf numFmtId="0" fontId="2" fillId="0" borderId="41" xfId="0" applyFont="1" applyBorder="1" applyAlignment="1">
      <alignment/>
    </xf>
    <xf numFmtId="0" fontId="0" fillId="0" borderId="23" xfId="0" applyFont="1" applyBorder="1" applyAlignment="1">
      <alignment horizontal="center" vertical="center" textRotation="90" shrinkToFit="1"/>
    </xf>
    <xf numFmtId="0" fontId="56" fillId="0" borderId="24" xfId="0" applyFont="1" applyBorder="1" applyAlignment="1">
      <alignment horizontal="center" vertical="center" textRotation="90" wrapText="1"/>
    </xf>
    <xf numFmtId="0" fontId="2" fillId="0" borderId="95" xfId="0" applyFont="1" applyBorder="1" applyAlignment="1">
      <alignment/>
    </xf>
    <xf numFmtId="0" fontId="0" fillId="0" borderId="96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97" xfId="0" applyFont="1" applyBorder="1" applyAlignment="1">
      <alignment/>
    </xf>
    <xf numFmtId="0" fontId="0" fillId="0" borderId="98" xfId="0" applyFont="1" applyBorder="1" applyAlignment="1">
      <alignment horizontal="center" vertical="center" textRotation="90" shrinkToFit="1"/>
    </xf>
    <xf numFmtId="0" fontId="0" fillId="0" borderId="91" xfId="0" applyBorder="1" applyAlignment="1">
      <alignment horizontal="center" vertical="center" textRotation="90" shrinkToFit="1"/>
    </xf>
    <xf numFmtId="0" fontId="2" fillId="0" borderId="99" xfId="0" applyFont="1" applyBorder="1" applyAlignment="1">
      <alignment/>
    </xf>
    <xf numFmtId="0" fontId="2" fillId="0" borderId="51" xfId="0" applyFont="1" applyBorder="1" applyAlignment="1">
      <alignment/>
    </xf>
    <xf numFmtId="0" fontId="0" fillId="0" borderId="60" xfId="0" applyFont="1" applyFill="1" applyBorder="1" applyAlignment="1">
      <alignment horizontal="center" vertical="center" textRotation="90" shrinkToFit="1"/>
    </xf>
    <xf numFmtId="0" fontId="0" fillId="0" borderId="100" xfId="0" applyFont="1" applyFill="1" applyBorder="1" applyAlignment="1">
      <alignment horizontal="center" vertical="center" textRotation="90" shrinkToFit="1"/>
    </xf>
    <xf numFmtId="0" fontId="0" fillId="0" borderId="15" xfId="0" applyFont="1" applyBorder="1" applyAlignment="1">
      <alignment horizontal="center" vertical="center"/>
    </xf>
    <xf numFmtId="0" fontId="2" fillId="0" borderId="57" xfId="0" applyFont="1" applyBorder="1" applyAlignment="1">
      <alignment/>
    </xf>
    <xf numFmtId="0" fontId="0" fillId="0" borderId="96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 shrinkToFit="1"/>
    </xf>
    <xf numFmtId="0" fontId="2" fillId="0" borderId="20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0" fillId="0" borderId="102" xfId="0" applyFont="1" applyBorder="1" applyAlignment="1">
      <alignment horizontal="center" vertical="center" textRotation="90"/>
    </xf>
    <xf numFmtId="0" fontId="2" fillId="0" borderId="103" xfId="0" applyFont="1" applyBorder="1" applyAlignment="1">
      <alignment/>
    </xf>
    <xf numFmtId="0" fontId="0" fillId="0" borderId="104" xfId="0" applyFont="1" applyBorder="1" applyAlignment="1">
      <alignment horizontal="center"/>
    </xf>
    <xf numFmtId="0" fontId="2" fillId="0" borderId="105" xfId="0" applyFont="1" applyBorder="1" applyAlignment="1">
      <alignment/>
    </xf>
    <xf numFmtId="0" fontId="2" fillId="0" borderId="106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/>
    </xf>
    <xf numFmtId="0" fontId="2" fillId="0" borderId="74" xfId="0" applyFont="1" applyBorder="1" applyAlignment="1">
      <alignment/>
    </xf>
    <xf numFmtId="0" fontId="56" fillId="0" borderId="80" xfId="0" applyFont="1" applyBorder="1" applyAlignment="1">
      <alignment horizontal="center"/>
    </xf>
    <xf numFmtId="0" fontId="2" fillId="0" borderId="82" xfId="0" applyFont="1" applyBorder="1" applyAlignment="1">
      <alignment/>
    </xf>
    <xf numFmtId="0" fontId="61" fillId="0" borderId="43" xfId="0" applyFont="1" applyBorder="1" applyAlignment="1">
      <alignment horizontal="center" vertical="center"/>
    </xf>
    <xf numFmtId="0" fontId="2" fillId="0" borderId="55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9" fillId="0" borderId="64" xfId="0" applyFont="1" applyBorder="1" applyAlignment="1">
      <alignment horizontal="center" vertical="center" textRotation="90" shrinkToFit="1"/>
    </xf>
    <xf numFmtId="0" fontId="56" fillId="0" borderId="107" xfId="0" applyFont="1" applyBorder="1" applyAlignment="1">
      <alignment horizontal="center" vertical="center" textRotation="90"/>
    </xf>
    <xf numFmtId="0" fontId="2" fillId="0" borderId="108" xfId="0" applyFont="1" applyBorder="1" applyAlignment="1">
      <alignment/>
    </xf>
    <xf numFmtId="0" fontId="0" fillId="0" borderId="109" xfId="0" applyFont="1" applyBorder="1" applyAlignment="1">
      <alignment horizontal="center" vertical="center" textRotation="90"/>
    </xf>
    <xf numFmtId="0" fontId="2" fillId="0" borderId="110" xfId="0" applyFont="1" applyBorder="1" applyAlignment="1">
      <alignment/>
    </xf>
    <xf numFmtId="0" fontId="0" fillId="0" borderId="63" xfId="0" applyFont="1" applyBorder="1" applyAlignment="1">
      <alignment horizontal="center"/>
    </xf>
    <xf numFmtId="0" fontId="2" fillId="0" borderId="63" xfId="0" applyFont="1" applyBorder="1" applyAlignment="1">
      <alignment/>
    </xf>
    <xf numFmtId="0" fontId="56" fillId="0" borderId="109" xfId="0" applyFont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58" xfId="0" applyFont="1" applyBorder="1" applyAlignment="1">
      <alignment horizontal="center" vertical="center" textRotation="90" shrinkToFit="1"/>
    </xf>
    <xf numFmtId="0" fontId="0" fillId="0" borderId="78" xfId="0" applyFont="1" applyBorder="1" applyAlignment="1">
      <alignment horizontal="center" vertical="center"/>
    </xf>
    <xf numFmtId="0" fontId="2" fillId="0" borderId="69" xfId="0" applyFont="1" applyBorder="1" applyAlignment="1">
      <alignment/>
    </xf>
    <xf numFmtId="0" fontId="60" fillId="0" borderId="58" xfId="0" applyFont="1" applyBorder="1" applyAlignment="1">
      <alignment horizontal="center" vertical="center"/>
    </xf>
    <xf numFmtId="0" fontId="56" fillId="0" borderId="90" xfId="0" applyFont="1" applyBorder="1" applyAlignment="1">
      <alignment horizontal="center" vertical="center" textRotation="90"/>
    </xf>
    <xf numFmtId="0" fontId="2" fillId="0" borderId="111" xfId="0" applyFont="1" applyBorder="1" applyAlignment="1">
      <alignment/>
    </xf>
    <xf numFmtId="0" fontId="0" fillId="0" borderId="103" xfId="0" applyFont="1" applyBorder="1" applyAlignment="1">
      <alignment horizontal="center" vertical="center" textRotation="90"/>
    </xf>
    <xf numFmtId="0" fontId="2" fillId="0" borderId="112" xfId="0" applyFont="1" applyBorder="1" applyAlignment="1">
      <alignment/>
    </xf>
    <xf numFmtId="0" fontId="0" fillId="0" borderId="0" xfId="0" applyFont="1" applyAlignment="1">
      <alignment horizontal="center" textRotation="90" shrinkToFit="1"/>
    </xf>
    <xf numFmtId="0" fontId="0" fillId="0" borderId="0" xfId="0" applyFont="1" applyAlignment="1">
      <alignment/>
    </xf>
    <xf numFmtId="0" fontId="70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ill>
        <patternFill>
          <bgColor theme="5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G1" sqref="G1:H52"/>
    </sheetView>
  </sheetViews>
  <sheetFormatPr defaultColWidth="14.421875" defaultRowHeight="15" customHeight="1"/>
  <cols>
    <col min="1" max="2" width="8.7109375" style="0" customWidth="1"/>
    <col min="3" max="3" width="5.28125" style="0" customWidth="1"/>
    <col min="4" max="4" width="4.421875" style="0" customWidth="1"/>
    <col min="5" max="5" width="21.57421875" style="0" customWidth="1"/>
    <col min="6" max="7" width="9.140625" style="0" customWidth="1"/>
    <col min="8" max="8" width="12.57421875" style="0" customWidth="1"/>
    <col min="9" max="26" width="8.7109375" style="0" customWidth="1"/>
  </cols>
  <sheetData>
    <row r="1" spans="1:8" ht="8.25" customHeight="1" thickBot="1">
      <c r="A1" s="303"/>
      <c r="B1" s="303"/>
      <c r="C1" s="315"/>
      <c r="D1" s="316"/>
      <c r="E1" s="316"/>
      <c r="F1" s="316"/>
      <c r="G1" s="303"/>
      <c r="H1" s="303"/>
    </row>
    <row r="2" spans="1:8" ht="14.25" customHeight="1">
      <c r="A2" s="303"/>
      <c r="B2" s="303"/>
      <c r="C2" s="314" t="s">
        <v>0</v>
      </c>
      <c r="D2" s="35"/>
      <c r="E2" s="36" t="s">
        <v>2</v>
      </c>
      <c r="F2" s="37"/>
      <c r="G2" s="303"/>
      <c r="H2" s="303"/>
    </row>
    <row r="3" spans="1:8" ht="36" customHeight="1">
      <c r="A3" s="303"/>
      <c r="B3" s="303"/>
      <c r="C3" s="308"/>
      <c r="D3" s="304" t="s">
        <v>6</v>
      </c>
      <c r="E3" s="306" t="s">
        <v>15</v>
      </c>
      <c r="F3" s="317" t="s">
        <v>17</v>
      </c>
      <c r="G3" s="303"/>
      <c r="H3" s="303"/>
    </row>
    <row r="4" spans="1:8" ht="14.25" customHeight="1" thickBot="1">
      <c r="A4" s="303"/>
      <c r="B4" s="303"/>
      <c r="C4" s="313"/>
      <c r="D4" s="305"/>
      <c r="E4" s="305"/>
      <c r="F4" s="318"/>
      <c r="G4" s="303"/>
      <c r="H4" s="303"/>
    </row>
    <row r="5" spans="1:8" ht="14.25" customHeight="1">
      <c r="A5" s="303"/>
      <c r="B5" s="303"/>
      <c r="C5" s="310" t="s">
        <v>106</v>
      </c>
      <c r="D5" s="5">
        <v>1</v>
      </c>
      <c r="E5" s="6" t="s">
        <v>67</v>
      </c>
      <c r="F5" s="38" t="s">
        <v>20</v>
      </c>
      <c r="G5" s="303"/>
      <c r="H5" s="303"/>
    </row>
    <row r="6" spans="1:8" ht="14.25" customHeight="1">
      <c r="A6" s="303"/>
      <c r="B6" s="303"/>
      <c r="C6" s="311"/>
      <c r="D6" s="7">
        <v>2</v>
      </c>
      <c r="E6" s="8" t="s">
        <v>68</v>
      </c>
      <c r="F6" s="39" t="s">
        <v>20</v>
      </c>
      <c r="G6" s="303"/>
      <c r="H6" s="303"/>
    </row>
    <row r="7" spans="1:8" ht="14.25" customHeight="1">
      <c r="A7" s="303"/>
      <c r="B7" s="303"/>
      <c r="C7" s="311"/>
      <c r="D7" s="7">
        <v>3</v>
      </c>
      <c r="E7" s="8" t="s">
        <v>69</v>
      </c>
      <c r="F7" s="39" t="s">
        <v>20</v>
      </c>
      <c r="G7" s="303"/>
      <c r="H7" s="303"/>
    </row>
    <row r="8" spans="1:8" ht="14.25" customHeight="1">
      <c r="A8" s="303"/>
      <c r="B8" s="303"/>
      <c r="C8" s="311"/>
      <c r="D8" s="7">
        <v>4</v>
      </c>
      <c r="E8" s="8" t="s">
        <v>70</v>
      </c>
      <c r="F8" s="39" t="s">
        <v>20</v>
      </c>
      <c r="G8" s="303"/>
      <c r="H8" s="303"/>
    </row>
    <row r="9" spans="1:8" ht="14.25" customHeight="1">
      <c r="A9" s="303"/>
      <c r="B9" s="303"/>
      <c r="C9" s="311"/>
      <c r="D9" s="7">
        <v>5</v>
      </c>
      <c r="E9" s="8" t="s">
        <v>71</v>
      </c>
      <c r="F9" s="39" t="s">
        <v>24</v>
      </c>
      <c r="G9" s="303"/>
      <c r="H9" s="303"/>
    </row>
    <row r="10" spans="1:8" ht="14.25" customHeight="1" thickBot="1">
      <c r="A10" s="303"/>
      <c r="B10" s="303"/>
      <c r="C10" s="312"/>
      <c r="D10" s="10">
        <v>6</v>
      </c>
      <c r="E10" s="11" t="s">
        <v>72</v>
      </c>
      <c r="F10" s="40" t="s">
        <v>26</v>
      </c>
      <c r="G10" s="303"/>
      <c r="H10" s="303"/>
    </row>
    <row r="11" spans="1:8" ht="14.25" customHeight="1">
      <c r="A11" s="303"/>
      <c r="B11" s="303"/>
      <c r="C11" s="310" t="s">
        <v>107</v>
      </c>
      <c r="D11" s="13">
        <v>7</v>
      </c>
      <c r="E11" s="14" t="s">
        <v>73</v>
      </c>
      <c r="F11" s="38" t="s">
        <v>20</v>
      </c>
      <c r="G11" s="303"/>
      <c r="H11" s="303"/>
    </row>
    <row r="12" spans="1:8" ht="14.25" customHeight="1">
      <c r="A12" s="303"/>
      <c r="B12" s="303"/>
      <c r="C12" s="308"/>
      <c r="D12" s="15">
        <v>8</v>
      </c>
      <c r="E12" s="16" t="s">
        <v>74</v>
      </c>
      <c r="F12" s="39" t="s">
        <v>20</v>
      </c>
      <c r="G12" s="303"/>
      <c r="H12" s="303"/>
    </row>
    <row r="13" spans="1:8" ht="14.25" customHeight="1">
      <c r="A13" s="303"/>
      <c r="B13" s="303"/>
      <c r="C13" s="308"/>
      <c r="D13" s="15">
        <v>9</v>
      </c>
      <c r="E13" s="16" t="s">
        <v>75</v>
      </c>
      <c r="F13" s="39" t="s">
        <v>20</v>
      </c>
      <c r="G13" s="303"/>
      <c r="H13" s="303"/>
    </row>
    <row r="14" spans="1:8" ht="14.25" customHeight="1">
      <c r="A14" s="303"/>
      <c r="B14" s="303"/>
      <c r="C14" s="308"/>
      <c r="D14" s="15">
        <v>10</v>
      </c>
      <c r="E14" s="16" t="s">
        <v>76</v>
      </c>
      <c r="F14" s="39" t="s">
        <v>20</v>
      </c>
      <c r="G14" s="303"/>
      <c r="H14" s="303"/>
    </row>
    <row r="15" spans="1:8" ht="14.25" customHeight="1">
      <c r="A15" s="303"/>
      <c r="B15" s="303"/>
      <c r="C15" s="308"/>
      <c r="D15" s="15">
        <v>11</v>
      </c>
      <c r="E15" s="16" t="s">
        <v>77</v>
      </c>
      <c r="F15" s="39" t="s">
        <v>24</v>
      </c>
      <c r="G15" s="303"/>
      <c r="H15" s="303"/>
    </row>
    <row r="16" spans="1:8" ht="14.25" customHeight="1" thickBot="1">
      <c r="A16" s="303"/>
      <c r="B16" s="303"/>
      <c r="C16" s="313"/>
      <c r="D16" s="19">
        <v>12</v>
      </c>
      <c r="E16" s="16" t="s">
        <v>78</v>
      </c>
      <c r="F16" s="40" t="s">
        <v>26</v>
      </c>
      <c r="G16" s="303"/>
      <c r="H16" s="303"/>
    </row>
    <row r="17" spans="1:8" ht="14.25" customHeight="1">
      <c r="A17" s="303"/>
      <c r="B17" s="303"/>
      <c r="C17" s="307" t="s">
        <v>108</v>
      </c>
      <c r="D17" s="5">
        <v>13</v>
      </c>
      <c r="E17" s="21" t="s">
        <v>79</v>
      </c>
      <c r="F17" s="38" t="s">
        <v>20</v>
      </c>
      <c r="G17" s="303"/>
      <c r="H17" s="303"/>
    </row>
    <row r="18" spans="1:8" ht="14.25" customHeight="1">
      <c r="A18" s="303"/>
      <c r="B18" s="303"/>
      <c r="C18" s="308"/>
      <c r="D18" s="7">
        <v>14</v>
      </c>
      <c r="E18" s="22" t="s">
        <v>80</v>
      </c>
      <c r="F18" s="39" t="s">
        <v>20</v>
      </c>
      <c r="G18" s="303"/>
      <c r="H18" s="303"/>
    </row>
    <row r="19" spans="1:8" ht="14.25" customHeight="1">
      <c r="A19" s="303"/>
      <c r="B19" s="303"/>
      <c r="C19" s="308"/>
      <c r="D19" s="7">
        <v>15</v>
      </c>
      <c r="E19" s="22" t="s">
        <v>81</v>
      </c>
      <c r="F19" s="39" t="s">
        <v>20</v>
      </c>
      <c r="G19" s="303"/>
      <c r="H19" s="303"/>
    </row>
    <row r="20" spans="1:8" ht="14.25" customHeight="1">
      <c r="A20" s="303"/>
      <c r="B20" s="303"/>
      <c r="C20" s="308"/>
      <c r="D20" s="7">
        <v>16</v>
      </c>
      <c r="E20" s="22" t="s">
        <v>82</v>
      </c>
      <c r="F20" s="39" t="s">
        <v>20</v>
      </c>
      <c r="G20" s="303"/>
      <c r="H20" s="303"/>
    </row>
    <row r="21" spans="1:8" ht="14.25" customHeight="1">
      <c r="A21" s="303"/>
      <c r="B21" s="303"/>
      <c r="C21" s="308"/>
      <c r="D21" s="7">
        <v>17</v>
      </c>
      <c r="E21" s="22" t="s">
        <v>83</v>
      </c>
      <c r="F21" s="39" t="s">
        <v>24</v>
      </c>
      <c r="G21" s="303"/>
      <c r="H21" s="303"/>
    </row>
    <row r="22" spans="1:8" ht="14.25" customHeight="1" thickBot="1">
      <c r="A22" s="303"/>
      <c r="B22" s="303"/>
      <c r="C22" s="313"/>
      <c r="D22" s="10">
        <v>18</v>
      </c>
      <c r="E22" s="22" t="s">
        <v>84</v>
      </c>
      <c r="F22" s="40" t="s">
        <v>26</v>
      </c>
      <c r="G22" s="303"/>
      <c r="H22" s="303"/>
    </row>
    <row r="23" spans="1:8" ht="14.25" customHeight="1">
      <c r="A23" s="303"/>
      <c r="B23" s="303"/>
      <c r="C23" s="307" t="s">
        <v>109</v>
      </c>
      <c r="D23" s="5">
        <v>19</v>
      </c>
      <c r="E23" s="6" t="s">
        <v>85</v>
      </c>
      <c r="F23" s="38" t="s">
        <v>20</v>
      </c>
      <c r="G23" s="303"/>
      <c r="H23" s="303"/>
    </row>
    <row r="24" spans="1:8" ht="14.25" customHeight="1">
      <c r="A24" s="303"/>
      <c r="B24" s="303"/>
      <c r="C24" s="308"/>
      <c r="D24" s="7">
        <v>20</v>
      </c>
      <c r="E24" s="8" t="s">
        <v>86</v>
      </c>
      <c r="F24" s="39" t="s">
        <v>20</v>
      </c>
      <c r="G24" s="303"/>
      <c r="H24" s="303"/>
    </row>
    <row r="25" spans="1:8" ht="14.25" customHeight="1">
      <c r="A25" s="303"/>
      <c r="B25" s="303"/>
      <c r="C25" s="308"/>
      <c r="D25" s="7">
        <v>21</v>
      </c>
      <c r="E25" s="8" t="s">
        <v>87</v>
      </c>
      <c r="F25" s="39" t="s">
        <v>20</v>
      </c>
      <c r="G25" s="303"/>
      <c r="H25" s="303"/>
    </row>
    <row r="26" spans="1:8" ht="14.25" customHeight="1">
      <c r="A26" s="303"/>
      <c r="B26" s="303"/>
      <c r="C26" s="308"/>
      <c r="D26" s="7">
        <v>22</v>
      </c>
      <c r="E26" s="8" t="s">
        <v>88</v>
      </c>
      <c r="F26" s="39" t="s">
        <v>20</v>
      </c>
      <c r="G26" s="303"/>
      <c r="H26" s="303"/>
    </row>
    <row r="27" spans="1:8" ht="14.25" customHeight="1">
      <c r="A27" s="303"/>
      <c r="B27" s="303"/>
      <c r="C27" s="308"/>
      <c r="D27" s="7">
        <v>23</v>
      </c>
      <c r="E27" s="8" t="s">
        <v>89</v>
      </c>
      <c r="F27" s="39" t="s">
        <v>24</v>
      </c>
      <c r="G27" s="303"/>
      <c r="H27" s="303"/>
    </row>
    <row r="28" spans="1:8" ht="14.25" customHeight="1" thickBot="1">
      <c r="A28" s="303"/>
      <c r="B28" s="303"/>
      <c r="C28" s="309"/>
      <c r="D28" s="41">
        <v>24</v>
      </c>
      <c r="E28" s="42" t="s">
        <v>90</v>
      </c>
      <c r="F28" s="43" t="s">
        <v>26</v>
      </c>
      <c r="G28" s="303"/>
      <c r="H28" s="303"/>
    </row>
    <row r="29" spans="1:8" ht="14.25" customHeight="1">
      <c r="A29" s="303"/>
      <c r="B29" s="303"/>
      <c r="C29" s="307" t="s">
        <v>110</v>
      </c>
      <c r="D29" s="5">
        <v>25</v>
      </c>
      <c r="E29" s="21" t="s">
        <v>91</v>
      </c>
      <c r="F29" s="38" t="s">
        <v>20</v>
      </c>
      <c r="G29" s="303"/>
      <c r="H29" s="303"/>
    </row>
    <row r="30" spans="1:8" ht="14.25" customHeight="1">
      <c r="A30" s="303"/>
      <c r="B30" s="303"/>
      <c r="C30" s="308"/>
      <c r="D30" s="7">
        <v>26</v>
      </c>
      <c r="E30" s="22" t="s">
        <v>92</v>
      </c>
      <c r="F30" s="39" t="s">
        <v>20</v>
      </c>
      <c r="G30" s="303"/>
      <c r="H30" s="303"/>
    </row>
    <row r="31" spans="1:8" ht="14.25" customHeight="1">
      <c r="A31" s="303"/>
      <c r="B31" s="303"/>
      <c r="C31" s="308"/>
      <c r="D31" s="7">
        <v>27</v>
      </c>
      <c r="E31" s="22" t="s">
        <v>93</v>
      </c>
      <c r="F31" s="39" t="s">
        <v>20</v>
      </c>
      <c r="G31" s="303"/>
      <c r="H31" s="303"/>
    </row>
    <row r="32" spans="1:8" ht="14.25" customHeight="1">
      <c r="A32" s="303"/>
      <c r="B32" s="303"/>
      <c r="C32" s="308"/>
      <c r="D32" s="7">
        <v>28</v>
      </c>
      <c r="E32" s="22" t="s">
        <v>94</v>
      </c>
      <c r="F32" s="39" t="s">
        <v>20</v>
      </c>
      <c r="G32" s="303"/>
      <c r="H32" s="303"/>
    </row>
    <row r="33" spans="1:8" ht="14.25" customHeight="1">
      <c r="A33" s="303"/>
      <c r="B33" s="303"/>
      <c r="C33" s="308"/>
      <c r="D33" s="7">
        <v>29</v>
      </c>
      <c r="E33" s="22" t="s">
        <v>95</v>
      </c>
      <c r="F33" s="39" t="s">
        <v>24</v>
      </c>
      <c r="G33" s="303"/>
      <c r="H33" s="303"/>
    </row>
    <row r="34" spans="1:8" ht="14.25" customHeight="1" thickBot="1">
      <c r="A34" s="303"/>
      <c r="B34" s="303"/>
      <c r="C34" s="313"/>
      <c r="D34" s="10">
        <v>30</v>
      </c>
      <c r="E34" s="22" t="s">
        <v>96</v>
      </c>
      <c r="F34" s="40" t="s">
        <v>26</v>
      </c>
      <c r="G34" s="303"/>
      <c r="H34" s="303"/>
    </row>
    <row r="35" spans="1:8" ht="14.25" customHeight="1">
      <c r="A35" s="303"/>
      <c r="B35" s="303"/>
      <c r="C35" s="307" t="s">
        <v>111</v>
      </c>
      <c r="D35" s="5">
        <v>31</v>
      </c>
      <c r="E35" s="6" t="s">
        <v>97</v>
      </c>
      <c r="F35" s="38" t="s">
        <v>20</v>
      </c>
      <c r="G35" s="303"/>
      <c r="H35" s="303"/>
    </row>
    <row r="36" spans="1:8" ht="14.25" customHeight="1">
      <c r="A36" s="303"/>
      <c r="B36" s="303"/>
      <c r="C36" s="308"/>
      <c r="D36" s="7">
        <v>32</v>
      </c>
      <c r="E36" s="8" t="s">
        <v>98</v>
      </c>
      <c r="F36" s="39" t="s">
        <v>20</v>
      </c>
      <c r="G36" s="303"/>
      <c r="H36" s="303"/>
    </row>
    <row r="37" spans="1:8" ht="14.25" customHeight="1">
      <c r="A37" s="303"/>
      <c r="B37" s="303"/>
      <c r="C37" s="308"/>
      <c r="D37" s="7">
        <v>33</v>
      </c>
      <c r="E37" s="8" t="s">
        <v>99</v>
      </c>
      <c r="F37" s="39" t="s">
        <v>20</v>
      </c>
      <c r="G37" s="303"/>
      <c r="H37" s="303"/>
    </row>
    <row r="38" spans="1:8" ht="14.25" customHeight="1">
      <c r="A38" s="303"/>
      <c r="B38" s="303"/>
      <c r="C38" s="308"/>
      <c r="D38" s="7">
        <v>34</v>
      </c>
      <c r="E38" s="8" t="s">
        <v>100</v>
      </c>
      <c r="F38" s="39" t="s">
        <v>20</v>
      </c>
      <c r="G38" s="303"/>
      <c r="H38" s="303"/>
    </row>
    <row r="39" spans="1:8" ht="14.25" customHeight="1">
      <c r="A39" s="303"/>
      <c r="B39" s="303"/>
      <c r="C39" s="308"/>
      <c r="D39" s="7">
        <v>35</v>
      </c>
      <c r="E39" s="274" t="s">
        <v>161</v>
      </c>
      <c r="F39" s="39" t="s">
        <v>24</v>
      </c>
      <c r="G39" s="303"/>
      <c r="H39" s="303"/>
    </row>
    <row r="40" spans="1:8" ht="14.25" customHeight="1" thickBot="1">
      <c r="A40" s="303"/>
      <c r="B40" s="303"/>
      <c r="C40" s="309"/>
      <c r="D40" s="41">
        <v>36</v>
      </c>
      <c r="E40" s="42" t="s">
        <v>101</v>
      </c>
      <c r="F40" s="43" t="s">
        <v>26</v>
      </c>
      <c r="G40" s="303"/>
      <c r="H40" s="303"/>
    </row>
    <row r="41" spans="1:8" ht="14.25" customHeight="1">
      <c r="A41" s="303"/>
      <c r="B41" s="303"/>
      <c r="C41" s="307" t="s">
        <v>112</v>
      </c>
      <c r="D41" s="5">
        <v>37</v>
      </c>
      <c r="E41" s="21" t="s">
        <v>102</v>
      </c>
      <c r="F41" s="38" t="s">
        <v>20</v>
      </c>
      <c r="G41" s="303"/>
      <c r="H41" s="303"/>
    </row>
    <row r="42" spans="1:8" ht="14.25" customHeight="1">
      <c r="A42" s="303"/>
      <c r="B42" s="303"/>
      <c r="C42" s="308"/>
      <c r="D42" s="7">
        <v>38</v>
      </c>
      <c r="E42" s="22" t="s">
        <v>103</v>
      </c>
      <c r="F42" s="39" t="s">
        <v>20</v>
      </c>
      <c r="G42" s="303"/>
      <c r="H42" s="303"/>
    </row>
    <row r="43" spans="1:8" ht="14.25" customHeight="1">
      <c r="A43" s="303"/>
      <c r="B43" s="303"/>
      <c r="C43" s="308"/>
      <c r="D43" s="7">
        <v>39</v>
      </c>
      <c r="E43" s="22" t="s">
        <v>104</v>
      </c>
      <c r="F43" s="39" t="s">
        <v>20</v>
      </c>
      <c r="G43" s="303"/>
      <c r="H43" s="303"/>
    </row>
    <row r="44" spans="1:8" ht="14.25" customHeight="1">
      <c r="A44" s="303"/>
      <c r="B44" s="303"/>
      <c r="C44" s="308"/>
      <c r="D44" s="7">
        <v>40</v>
      </c>
      <c r="E44" s="22" t="s">
        <v>163</v>
      </c>
      <c r="F44" s="39" t="s">
        <v>20</v>
      </c>
      <c r="G44" s="303"/>
      <c r="H44" s="303"/>
    </row>
    <row r="45" spans="1:8" ht="14.25" customHeight="1">
      <c r="A45" s="303"/>
      <c r="B45" s="303"/>
      <c r="C45" s="308"/>
      <c r="D45" s="7">
        <v>41</v>
      </c>
      <c r="E45" s="22" t="s">
        <v>105</v>
      </c>
      <c r="F45" s="39" t="s">
        <v>24</v>
      </c>
      <c r="G45" s="303"/>
      <c r="H45" s="303"/>
    </row>
    <row r="46" spans="1:8" ht="14.25" customHeight="1" thickBot="1">
      <c r="A46" s="303"/>
      <c r="B46" s="303"/>
      <c r="C46" s="313"/>
      <c r="D46" s="10">
        <v>42</v>
      </c>
      <c r="E46" s="22" t="s">
        <v>162</v>
      </c>
      <c r="F46" s="40" t="s">
        <v>26</v>
      </c>
      <c r="G46" s="303"/>
      <c r="H46" s="303"/>
    </row>
    <row r="47" spans="1:8" ht="14.25" customHeight="1">
      <c r="A47" s="303"/>
      <c r="B47" s="303"/>
      <c r="C47" s="307" t="s">
        <v>113</v>
      </c>
      <c r="D47" s="5">
        <v>43</v>
      </c>
      <c r="E47" s="6" t="s">
        <v>64</v>
      </c>
      <c r="F47" s="38" t="s">
        <v>20</v>
      </c>
      <c r="G47" s="303"/>
      <c r="H47" s="303"/>
    </row>
    <row r="48" spans="1:8" ht="14.25" customHeight="1">
      <c r="A48" s="303"/>
      <c r="B48" s="303"/>
      <c r="C48" s="308"/>
      <c r="D48" s="7">
        <v>44</v>
      </c>
      <c r="E48" s="8" t="s">
        <v>23</v>
      </c>
      <c r="F48" s="39" t="s">
        <v>20</v>
      </c>
      <c r="G48" s="303"/>
      <c r="H48" s="303"/>
    </row>
    <row r="49" spans="1:8" ht="14.25" customHeight="1">
      <c r="A49" s="303"/>
      <c r="B49" s="303"/>
      <c r="C49" s="308"/>
      <c r="D49" s="7">
        <v>45</v>
      </c>
      <c r="E49" s="8" t="s">
        <v>65</v>
      </c>
      <c r="F49" s="39" t="s">
        <v>20</v>
      </c>
      <c r="G49" s="303"/>
      <c r="H49" s="303"/>
    </row>
    <row r="50" spans="1:8" ht="14.25" customHeight="1">
      <c r="A50" s="303"/>
      <c r="B50" s="303"/>
      <c r="C50" s="308"/>
      <c r="D50" s="7">
        <v>46</v>
      </c>
      <c r="E50" s="8" t="s">
        <v>30</v>
      </c>
      <c r="F50" s="39" t="s">
        <v>20</v>
      </c>
      <c r="G50" s="303"/>
      <c r="H50" s="303"/>
    </row>
    <row r="51" spans="1:8" ht="14.25" customHeight="1">
      <c r="A51" s="303"/>
      <c r="B51" s="303"/>
      <c r="C51" s="308"/>
      <c r="D51" s="7">
        <v>47</v>
      </c>
      <c r="E51" s="8" t="s">
        <v>27</v>
      </c>
      <c r="F51" s="39" t="s">
        <v>24</v>
      </c>
      <c r="G51" s="303"/>
      <c r="H51" s="303"/>
    </row>
    <row r="52" spans="1:8" ht="14.25" customHeight="1" thickBot="1">
      <c r="A52" s="303"/>
      <c r="B52" s="303"/>
      <c r="C52" s="309"/>
      <c r="D52" s="41">
        <v>48</v>
      </c>
      <c r="E52" s="42" t="s">
        <v>63</v>
      </c>
      <c r="F52" s="43" t="s">
        <v>26</v>
      </c>
      <c r="G52" s="303"/>
      <c r="H52" s="303"/>
    </row>
    <row r="53" spans="1:8" ht="14.25" customHeight="1">
      <c r="A53" s="303"/>
      <c r="B53" s="303"/>
      <c r="C53" s="303"/>
      <c r="D53" s="303"/>
      <c r="E53" s="303"/>
      <c r="F53" s="303"/>
      <c r="G53" s="303"/>
      <c r="H53" s="303"/>
    </row>
    <row r="54" spans="1:8" ht="14.25" customHeight="1">
      <c r="A54" s="303"/>
      <c r="B54" s="303"/>
      <c r="C54" s="303"/>
      <c r="D54" s="303"/>
      <c r="E54" s="303"/>
      <c r="F54" s="303"/>
      <c r="G54" s="303"/>
      <c r="H54" s="303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mergeCells count="16">
    <mergeCell ref="G1:H52"/>
    <mergeCell ref="A1:B52"/>
    <mergeCell ref="A53:H54"/>
    <mergeCell ref="D3:D4"/>
    <mergeCell ref="E3:E4"/>
    <mergeCell ref="C35:C40"/>
    <mergeCell ref="C5:C10"/>
    <mergeCell ref="C23:C28"/>
    <mergeCell ref="C29:C34"/>
    <mergeCell ref="C11:C16"/>
    <mergeCell ref="C17:C22"/>
    <mergeCell ref="C2:C4"/>
    <mergeCell ref="C1:F1"/>
    <mergeCell ref="F3:F4"/>
    <mergeCell ref="C41:C46"/>
    <mergeCell ref="C47:C52"/>
  </mergeCells>
  <printOptions/>
  <pageMargins left="0.7" right="0.7" top="0.787401575" bottom="0.78740157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4"/>
  <sheetViews>
    <sheetView zoomScalePageLayoutView="0" workbookViewId="0" topLeftCell="A40">
      <selection activeCell="A14" sqref="A14"/>
    </sheetView>
  </sheetViews>
  <sheetFormatPr defaultColWidth="14.421875" defaultRowHeight="15" customHeight="1"/>
  <cols>
    <col min="1" max="4" width="0.85546875" style="44" customWidth="1"/>
    <col min="5" max="5" width="0.85546875" style="0" customWidth="1"/>
    <col min="6" max="6" width="4.00390625" style="0" customWidth="1"/>
    <col min="7" max="7" width="3.8515625" style="0" customWidth="1"/>
    <col min="8" max="8" width="19.28125" style="0" customWidth="1"/>
    <col min="9" max="9" width="3.00390625" style="0" customWidth="1"/>
    <col min="10" max="10" width="4.8515625" style="0" customWidth="1"/>
    <col min="11" max="13" width="5.7109375" style="0" customWidth="1"/>
    <col min="14" max="14" width="7.57421875" style="0" customWidth="1"/>
    <col min="15" max="18" width="7.57421875" style="0" hidden="1" customWidth="1"/>
    <col min="19" max="19" width="7.57421875" style="44" hidden="1" customWidth="1"/>
    <col min="20" max="20" width="7.57421875" style="0" hidden="1" customWidth="1"/>
    <col min="21" max="21" width="7.57421875" style="44" hidden="1" customWidth="1"/>
    <col min="22" max="22" width="7.57421875" style="0" hidden="1" customWidth="1"/>
    <col min="23" max="35" width="7.57421875" style="44" hidden="1" customWidth="1"/>
    <col min="36" max="36" width="7.57421875" style="66" hidden="1" customWidth="1"/>
    <col min="37" max="37" width="7.57421875" style="44" hidden="1" customWidth="1"/>
    <col min="38" max="38" width="7.57421875" style="66" hidden="1" customWidth="1"/>
    <col min="39" max="50" width="7.57421875" style="44" hidden="1" customWidth="1"/>
    <col min="51" max="51" width="6.57421875" style="0" customWidth="1"/>
    <col min="52" max="52" width="7.28125" style="0" customWidth="1"/>
    <col min="53" max="53" width="7.140625" style="0" customWidth="1"/>
    <col min="54" max="54" width="2.8515625" style="0" customWidth="1"/>
    <col min="55" max="66" width="8.7109375" style="0" customWidth="1"/>
  </cols>
  <sheetData>
    <row r="1" spans="5:53" ht="22.5" customHeight="1">
      <c r="E1" s="319" t="s">
        <v>1</v>
      </c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</row>
    <row r="2" spans="6:53" ht="3.75" customHeight="1" thickBot="1">
      <c r="F2" s="315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</row>
    <row r="3" spans="6:53" ht="46.5" customHeight="1" thickBot="1">
      <c r="F3" s="94" t="s">
        <v>0</v>
      </c>
      <c r="G3" s="69" t="s">
        <v>3</v>
      </c>
      <c r="H3" s="68" t="s">
        <v>4</v>
      </c>
      <c r="I3" s="69" t="s">
        <v>5</v>
      </c>
      <c r="J3" s="70" t="s">
        <v>7</v>
      </c>
      <c r="K3" s="69" t="s">
        <v>8</v>
      </c>
      <c r="L3" s="69" t="s">
        <v>9</v>
      </c>
      <c r="M3" s="69" t="s">
        <v>10</v>
      </c>
      <c r="N3" s="69" t="s">
        <v>12</v>
      </c>
      <c r="O3" s="78" t="s">
        <v>20</v>
      </c>
      <c r="P3" s="78" t="s">
        <v>24</v>
      </c>
      <c r="Q3" s="78" t="s">
        <v>26</v>
      </c>
      <c r="R3" s="78" t="s">
        <v>114</v>
      </c>
      <c r="S3" s="78" t="s">
        <v>141</v>
      </c>
      <c r="T3" s="78" t="s">
        <v>115</v>
      </c>
      <c r="U3" s="78" t="s">
        <v>142</v>
      </c>
      <c r="V3" s="78" t="s">
        <v>116</v>
      </c>
      <c r="W3" s="78" t="s">
        <v>143</v>
      </c>
      <c r="X3" s="78" t="s">
        <v>117</v>
      </c>
      <c r="Y3" s="78" t="s">
        <v>118</v>
      </c>
      <c r="Z3" s="78" t="s">
        <v>119</v>
      </c>
      <c r="AA3" s="78" t="s">
        <v>120</v>
      </c>
      <c r="AB3" s="78" t="s">
        <v>121</v>
      </c>
      <c r="AC3" s="78" t="s">
        <v>122</v>
      </c>
      <c r="AD3" s="78" t="s">
        <v>123</v>
      </c>
      <c r="AE3" s="78" t="s">
        <v>124</v>
      </c>
      <c r="AF3" s="78" t="s">
        <v>125</v>
      </c>
      <c r="AG3" s="78" t="s">
        <v>126</v>
      </c>
      <c r="AH3" s="78" t="s">
        <v>141</v>
      </c>
      <c r="AI3" s="78" t="s">
        <v>127</v>
      </c>
      <c r="AJ3" s="78" t="s">
        <v>142</v>
      </c>
      <c r="AK3" s="78" t="s">
        <v>128</v>
      </c>
      <c r="AL3" s="78" t="s">
        <v>143</v>
      </c>
      <c r="AM3" s="78" t="s">
        <v>129</v>
      </c>
      <c r="AN3" s="78" t="s">
        <v>130</v>
      </c>
      <c r="AO3" s="78" t="s">
        <v>131</v>
      </c>
      <c r="AP3" s="78" t="s">
        <v>132</v>
      </c>
      <c r="AQ3" s="78" t="s">
        <v>133</v>
      </c>
      <c r="AR3" s="78" t="s">
        <v>134</v>
      </c>
      <c r="AS3" s="78" t="s">
        <v>135</v>
      </c>
      <c r="AT3" s="78" t="s">
        <v>136</v>
      </c>
      <c r="AU3" s="78" t="s">
        <v>137</v>
      </c>
      <c r="AV3" s="78" t="s">
        <v>138</v>
      </c>
      <c r="AW3" s="78" t="s">
        <v>139</v>
      </c>
      <c r="AX3" s="78" t="s">
        <v>140</v>
      </c>
      <c r="AY3" s="78" t="s">
        <v>13</v>
      </c>
      <c r="AZ3" s="71" t="s">
        <v>14</v>
      </c>
      <c r="BA3" s="72" t="s">
        <v>16</v>
      </c>
    </row>
    <row r="4" spans="1:53" ht="14.25" customHeight="1">
      <c r="A4" s="91">
        <v>0</v>
      </c>
      <c r="B4" s="91">
        <v>0</v>
      </c>
      <c r="C4" s="91">
        <v>0</v>
      </c>
      <c r="F4" s="327" t="str">
        <f>IF('Jmený seznam'!D5,'Jmený seznam'!C5)</f>
        <v>Město Praha</v>
      </c>
      <c r="G4" s="100">
        <v>1</v>
      </c>
      <c r="H4" s="55" t="str">
        <f>IF('Jmený seznam'!D5,'Jmený seznam'!E5)</f>
        <v>Hurníková Martina</v>
      </c>
      <c r="I4" s="56" t="s">
        <v>20</v>
      </c>
      <c r="J4" s="57">
        <v>92</v>
      </c>
      <c r="K4" s="57">
        <v>32</v>
      </c>
      <c r="L4" s="57">
        <v>18</v>
      </c>
      <c r="M4" s="57">
        <v>27</v>
      </c>
      <c r="N4" s="57">
        <f>SUM(J4,K4,L4,M4)</f>
        <v>169</v>
      </c>
      <c r="O4" s="58">
        <f>N4</f>
        <v>169</v>
      </c>
      <c r="P4" s="81"/>
      <c r="Q4" s="81"/>
      <c r="R4" s="59">
        <f>RANK(O4,$O$4:$O$51,0)</f>
        <v>17</v>
      </c>
      <c r="S4" s="113">
        <f>COUNTIF($R$4:$R$51,R4)</f>
        <v>1</v>
      </c>
      <c r="T4" s="59"/>
      <c r="U4" s="59"/>
      <c r="V4" s="59"/>
      <c r="W4" s="59"/>
      <c r="X4" s="83">
        <f>SUM(K4,L4,M4)</f>
        <v>77</v>
      </c>
      <c r="Y4" s="87"/>
      <c r="Z4" s="87"/>
      <c r="AA4" s="89">
        <f>RANK(X4,$X$4:$X$51,1)</f>
        <v>15</v>
      </c>
      <c r="AB4" s="89"/>
      <c r="AC4" s="89"/>
      <c r="AD4" s="89">
        <f>N4+(AA4/100000)</f>
        <v>169.00015</v>
      </c>
      <c r="AE4" s="89"/>
      <c r="AF4" s="89"/>
      <c r="AG4" s="93">
        <f>RANK(AD4,$AD$4:$AD$51,0)</f>
        <v>18</v>
      </c>
      <c r="AH4" s="93">
        <f>COUNTIF($AG$4:$AG$51,AG4)</f>
        <v>1</v>
      </c>
      <c r="AI4" s="93"/>
      <c r="AJ4" s="93"/>
      <c r="AK4" s="93"/>
      <c r="AL4" s="93"/>
      <c r="AM4" s="103">
        <f>K4</f>
        <v>32</v>
      </c>
      <c r="AN4" s="103"/>
      <c r="AO4" s="103"/>
      <c r="AP4" s="107">
        <f>RANK(AM4,$AM$4:$AM$51,1)</f>
        <v>15</v>
      </c>
      <c r="AQ4" s="107"/>
      <c r="AR4" s="107"/>
      <c r="AS4" s="111">
        <f>(N4+(AA4/100000))-N4+(N4+(AP4/100000))</f>
        <v>169.00029999999998</v>
      </c>
      <c r="AT4" s="107"/>
      <c r="AU4" s="107"/>
      <c r="AV4" s="112">
        <f>RANK(AS4,$AS$4:$AS$51,0)</f>
        <v>17</v>
      </c>
      <c r="AW4" s="103"/>
      <c r="AX4" s="103"/>
      <c r="AY4" s="246">
        <f>IF(S4=1,R4,IF(AH4=1,AG4,AV4))</f>
        <v>17</v>
      </c>
      <c r="AZ4" s="324">
        <f>SUM(AY4:AY9)</f>
        <v>89</v>
      </c>
      <c r="BA4" s="321">
        <f>RANK(AZ4,$AZ$4:$AZ$51,1)</f>
        <v>5</v>
      </c>
    </row>
    <row r="5" spans="1:53" ht="14.25" customHeight="1">
      <c r="A5" s="91">
        <v>2</v>
      </c>
      <c r="B5" s="91">
        <v>1</v>
      </c>
      <c r="C5" s="91">
        <v>1</v>
      </c>
      <c r="F5" s="328"/>
      <c r="G5" s="101">
        <v>2</v>
      </c>
      <c r="H5" s="60" t="str">
        <f>IF('Jmený seznam'!D6,'Jmený seznam'!E6)</f>
        <v>Hurníková Markéta</v>
      </c>
      <c r="I5" s="51" t="s">
        <v>20</v>
      </c>
      <c r="J5" s="52">
        <v>80</v>
      </c>
      <c r="K5" s="52">
        <v>26</v>
      </c>
      <c r="L5" s="52">
        <v>15</v>
      </c>
      <c r="M5" s="52">
        <v>20</v>
      </c>
      <c r="N5" s="52">
        <f>SUM(J5,K5,L5,M5)</f>
        <v>141</v>
      </c>
      <c r="O5" s="53">
        <f aca="true" t="shared" si="0" ref="O5:O25">N5</f>
        <v>141</v>
      </c>
      <c r="P5" s="79"/>
      <c r="Q5" s="79"/>
      <c r="R5" s="54">
        <f aca="true" t="shared" si="1" ref="R5:R49">RANK(O5,$O$4:$O$51,0)</f>
        <v>25</v>
      </c>
      <c r="S5" s="54">
        <f>COUNTIF($R$4:$R$51,R5)</f>
        <v>2</v>
      </c>
      <c r="T5" s="54"/>
      <c r="U5" s="54"/>
      <c r="V5" s="54"/>
      <c r="W5" s="54"/>
      <c r="X5" s="84">
        <f aca="true" t="shared" si="2" ref="X5:X49">SUM(K5,L5,M5)</f>
        <v>61</v>
      </c>
      <c r="Y5" s="88"/>
      <c r="Z5" s="88"/>
      <c r="AA5" s="90">
        <f>RANK(X5,$X$4:$X$51,1)</f>
        <v>7</v>
      </c>
      <c r="AB5" s="90"/>
      <c r="AC5" s="90"/>
      <c r="AD5" s="90">
        <f>N5+(AA5/100000)</f>
        <v>141.00007</v>
      </c>
      <c r="AE5" s="90"/>
      <c r="AF5" s="90"/>
      <c r="AG5" s="95">
        <f aca="true" t="shared" si="3" ref="AG5:AG49">RANK(AD5,$AD$4:$AD$51,0)</f>
        <v>27</v>
      </c>
      <c r="AH5" s="95">
        <f>COUNTIF($AG$4:$AG$51,AG5)</f>
        <v>1</v>
      </c>
      <c r="AI5" s="95"/>
      <c r="AJ5" s="95"/>
      <c r="AK5" s="95"/>
      <c r="AL5" s="95"/>
      <c r="AM5" s="104">
        <f aca="true" t="shared" si="4" ref="AM5:AM49">K5</f>
        <v>26</v>
      </c>
      <c r="AN5" s="104"/>
      <c r="AO5" s="104"/>
      <c r="AP5" s="108">
        <f>RANK(AM5,$AM$4:$AM$51,1)</f>
        <v>3</v>
      </c>
      <c r="AQ5" s="108"/>
      <c r="AR5" s="108"/>
      <c r="AS5" s="108">
        <f>(N5+(AA5/100000))-N5+(N5+(AP5/100000))</f>
        <v>141.0001</v>
      </c>
      <c r="AT5" s="108"/>
      <c r="AU5" s="108"/>
      <c r="AV5" s="104">
        <f>RANK(AS5,$AS$4:$AS$51,0)</f>
        <v>26</v>
      </c>
      <c r="AW5" s="104"/>
      <c r="AX5" s="104"/>
      <c r="AY5" s="131">
        <v>26</v>
      </c>
      <c r="AZ5" s="325"/>
      <c r="BA5" s="322"/>
    </row>
    <row r="6" spans="1:57" ht="14.25" customHeight="1">
      <c r="A6" s="91">
        <v>4</v>
      </c>
      <c r="B6" s="91">
        <v>2</v>
      </c>
      <c r="C6" s="91">
        <v>2</v>
      </c>
      <c r="F6" s="328"/>
      <c r="G6" s="101">
        <v>3</v>
      </c>
      <c r="H6" s="60" t="str">
        <f>IF('Jmený seznam'!D7,'Jmený seznam'!E7)</f>
        <v>Hurníková Michaela</v>
      </c>
      <c r="I6" s="51" t="s">
        <v>20</v>
      </c>
      <c r="J6" s="52">
        <v>82</v>
      </c>
      <c r="K6" s="52">
        <v>24</v>
      </c>
      <c r="L6" s="52">
        <v>11</v>
      </c>
      <c r="M6" s="52">
        <v>25</v>
      </c>
      <c r="N6" s="52">
        <f aca="true" t="shared" si="5" ref="N6:N27">SUM(J6,K6,L6,M6)</f>
        <v>142</v>
      </c>
      <c r="O6" s="53">
        <f t="shared" si="0"/>
        <v>142</v>
      </c>
      <c r="P6" s="79"/>
      <c r="Q6" s="79"/>
      <c r="R6" s="54">
        <f t="shared" si="1"/>
        <v>24</v>
      </c>
      <c r="S6" s="54">
        <f>COUNTIF($R$4:$R$51,R6)</f>
        <v>1</v>
      </c>
      <c r="T6" s="54"/>
      <c r="U6" s="54"/>
      <c r="V6" s="54"/>
      <c r="W6" s="54"/>
      <c r="X6" s="84">
        <f t="shared" si="2"/>
        <v>60</v>
      </c>
      <c r="Y6" s="88"/>
      <c r="Z6" s="88"/>
      <c r="AA6" s="90">
        <f>RANK(X6,$X$4:$X$51,1)</f>
        <v>6</v>
      </c>
      <c r="AB6" s="90"/>
      <c r="AC6" s="90"/>
      <c r="AD6" s="90">
        <f aca="true" t="shared" si="6" ref="AD6:AD49">N6+(AA6/100000)</f>
        <v>142.00006</v>
      </c>
      <c r="AE6" s="90"/>
      <c r="AF6" s="90"/>
      <c r="AG6" s="95">
        <f t="shared" si="3"/>
        <v>25</v>
      </c>
      <c r="AH6" s="95">
        <f>COUNTIF($AG$4:$AG$51,AG6)</f>
        <v>1</v>
      </c>
      <c r="AI6" s="95"/>
      <c r="AJ6" s="95"/>
      <c r="AK6" s="95"/>
      <c r="AL6" s="95"/>
      <c r="AM6" s="104">
        <f t="shared" si="4"/>
        <v>24</v>
      </c>
      <c r="AN6" s="104"/>
      <c r="AO6" s="104"/>
      <c r="AP6" s="108">
        <f>RANK(AM6,$AM$4:$AM$51,1)</f>
        <v>2</v>
      </c>
      <c r="AQ6" s="108"/>
      <c r="AR6" s="108"/>
      <c r="AS6" s="108">
        <f>(N6+(AA6/100000))-N6+(N6+(AP6/100000))</f>
        <v>142.00008</v>
      </c>
      <c r="AT6" s="108"/>
      <c r="AU6" s="108"/>
      <c r="AV6" s="104">
        <f>RANK(AS6,$AS$4:$AS$51,0)</f>
        <v>24</v>
      </c>
      <c r="AW6" s="104"/>
      <c r="AX6" s="104"/>
      <c r="AY6" s="131">
        <f>IF(S6=1,R6,IF(AH6=1,AG6,AV6))</f>
        <v>24</v>
      </c>
      <c r="AZ6" s="325"/>
      <c r="BA6" s="322"/>
      <c r="BE6" s="273"/>
    </row>
    <row r="7" spans="1:53" ht="14.25" customHeight="1">
      <c r="A7" s="91">
        <v>6</v>
      </c>
      <c r="B7" s="91">
        <v>3</v>
      </c>
      <c r="C7" s="91">
        <v>3</v>
      </c>
      <c r="F7" s="328"/>
      <c r="G7" s="101">
        <v>4</v>
      </c>
      <c r="H7" s="60" t="str">
        <f>IF('Jmený seznam'!D8,'Jmený seznam'!E8)</f>
        <v>Těšínský Jindřich</v>
      </c>
      <c r="I7" s="51" t="s">
        <v>20</v>
      </c>
      <c r="J7" s="52">
        <v>96</v>
      </c>
      <c r="K7" s="52">
        <v>30</v>
      </c>
      <c r="L7" s="52">
        <v>24</v>
      </c>
      <c r="M7" s="52">
        <v>30</v>
      </c>
      <c r="N7" s="52">
        <f t="shared" si="5"/>
        <v>180</v>
      </c>
      <c r="O7" s="53">
        <f t="shared" si="0"/>
        <v>180</v>
      </c>
      <c r="P7" s="79"/>
      <c r="Q7" s="79"/>
      <c r="R7" s="54">
        <f t="shared" si="1"/>
        <v>13</v>
      </c>
      <c r="S7" s="54">
        <f>COUNTIF($R$4:$R$51,R7)</f>
        <v>1</v>
      </c>
      <c r="T7" s="54"/>
      <c r="U7" s="54"/>
      <c r="V7" s="54"/>
      <c r="W7" s="54"/>
      <c r="X7" s="84">
        <f t="shared" si="2"/>
        <v>84</v>
      </c>
      <c r="Y7" s="88"/>
      <c r="Z7" s="88"/>
      <c r="AA7" s="90">
        <f>RANK(X7,$X$4:$X$51,1)</f>
        <v>19</v>
      </c>
      <c r="AB7" s="90"/>
      <c r="AC7" s="90"/>
      <c r="AD7" s="90">
        <f t="shared" si="6"/>
        <v>180.00019</v>
      </c>
      <c r="AE7" s="90"/>
      <c r="AF7" s="90"/>
      <c r="AG7" s="95">
        <f t="shared" si="3"/>
        <v>14</v>
      </c>
      <c r="AH7" s="95">
        <f>COUNTIF($AG$4:$AG$51,AG7)</f>
        <v>1</v>
      </c>
      <c r="AI7" s="95"/>
      <c r="AJ7" s="95"/>
      <c r="AK7" s="95"/>
      <c r="AL7" s="95"/>
      <c r="AM7" s="104">
        <f t="shared" si="4"/>
        <v>30</v>
      </c>
      <c r="AN7" s="104"/>
      <c r="AO7" s="104"/>
      <c r="AP7" s="108">
        <f>RANK(AM7,$AM$4:$AM$51,1)</f>
        <v>11</v>
      </c>
      <c r="AQ7" s="108"/>
      <c r="AR7" s="108"/>
      <c r="AS7" s="108">
        <f>(N7+(AA7/100000))-N7+(N7+(AP7/100000))</f>
        <v>180.0003</v>
      </c>
      <c r="AT7" s="108"/>
      <c r="AU7" s="108"/>
      <c r="AV7" s="104">
        <f>RANK(AS7,$AS$4:$AS$51,0)</f>
        <v>13</v>
      </c>
      <c r="AW7" s="104"/>
      <c r="AX7" s="104"/>
      <c r="AY7" s="247">
        <f>IF(S7=1,R7,IF(AH7=1,AG7,AV7))</f>
        <v>13</v>
      </c>
      <c r="AZ7" s="325"/>
      <c r="BA7" s="322"/>
    </row>
    <row r="8" spans="1:53" ht="14.25" customHeight="1">
      <c r="A8" s="91">
        <v>8</v>
      </c>
      <c r="B8" s="91">
        <v>4</v>
      </c>
      <c r="C8" s="91">
        <v>4</v>
      </c>
      <c r="F8" s="328"/>
      <c r="G8" s="101">
        <v>5</v>
      </c>
      <c r="H8" s="60" t="str">
        <f>IF('Jmený seznam'!D9,'Jmený seznam'!E9)</f>
        <v>Tvrdá Nikola</v>
      </c>
      <c r="I8" s="51" t="s">
        <v>24</v>
      </c>
      <c r="J8" s="52">
        <v>98</v>
      </c>
      <c r="K8" s="52">
        <v>40</v>
      </c>
      <c r="L8" s="52">
        <v>30</v>
      </c>
      <c r="M8" s="52">
        <v>28</v>
      </c>
      <c r="N8" s="52">
        <f t="shared" si="5"/>
        <v>196</v>
      </c>
      <c r="O8" s="79"/>
      <c r="P8" s="53">
        <f>N8</f>
        <v>196</v>
      </c>
      <c r="Q8" s="79"/>
      <c r="R8" s="54"/>
      <c r="S8" s="54"/>
      <c r="T8" s="54">
        <f>RANK(P8,$P$4:$P$51,0)</f>
        <v>1</v>
      </c>
      <c r="U8" s="54">
        <f>COUNTIF($T$4:$T$51,T8)</f>
        <v>1</v>
      </c>
      <c r="V8" s="54"/>
      <c r="W8" s="54"/>
      <c r="X8" s="84"/>
      <c r="Y8" s="84">
        <f>SUM(K8,L8,M8)</f>
        <v>98</v>
      </c>
      <c r="Z8" s="88"/>
      <c r="AA8" s="90"/>
      <c r="AB8" s="90">
        <f>RANK(Y8,$Y$4:$Y$51,1)</f>
        <v>8</v>
      </c>
      <c r="AC8" s="90"/>
      <c r="AD8" s="90"/>
      <c r="AE8" s="90">
        <f>N8+(AB8/100000)</f>
        <v>196.00008</v>
      </c>
      <c r="AF8" s="90"/>
      <c r="AG8" s="95"/>
      <c r="AH8" s="95"/>
      <c r="AI8" s="95">
        <f>RANK(AE8,$AE$4:$AE$51,0)</f>
        <v>1</v>
      </c>
      <c r="AJ8" s="95">
        <f>COUNTIF($AI$4:$AI$51,AI8)</f>
        <v>1</v>
      </c>
      <c r="AK8" s="95"/>
      <c r="AL8" s="95"/>
      <c r="AM8" s="104">
        <f t="shared" si="4"/>
        <v>40</v>
      </c>
      <c r="AN8" s="104">
        <f>K8</f>
        <v>40</v>
      </c>
      <c r="AO8" s="104"/>
      <c r="AP8" s="108">
        <f>RANK(AM8,$AM$4:$AM$51,1)</f>
        <v>29</v>
      </c>
      <c r="AQ8" s="108">
        <f>RANK(AN8,$AN$4:$AN$51,1)</f>
        <v>8</v>
      </c>
      <c r="AR8" s="108"/>
      <c r="AS8" s="108"/>
      <c r="AT8" s="108">
        <f>(N8+(AB8/100000))-N8+(N8+(AQ8/100000))</f>
        <v>196.00016</v>
      </c>
      <c r="AU8" s="108"/>
      <c r="AV8" s="104"/>
      <c r="AW8" s="104">
        <f>RANK(AT8,$AT$4:$AT$51,0)</f>
        <v>1</v>
      </c>
      <c r="AX8" s="104"/>
      <c r="AY8" s="131">
        <f>IF(U8=1,T8,IF(AJ8=1,AI8,AW8))</f>
        <v>1</v>
      </c>
      <c r="AZ8" s="325"/>
      <c r="BA8" s="322"/>
    </row>
    <row r="9" spans="1:53" ht="14.25" customHeight="1" thickBot="1">
      <c r="A9" s="91">
        <v>10</v>
      </c>
      <c r="B9" s="91">
        <v>5</v>
      </c>
      <c r="C9" s="91">
        <v>5</v>
      </c>
      <c r="F9" s="329"/>
      <c r="G9" s="102">
        <v>6</v>
      </c>
      <c r="H9" s="73" t="str">
        <f>IF('Jmený seznam'!D10,'Jmený seznam'!E10)</f>
        <v>Česenek Jan</v>
      </c>
      <c r="I9" s="74" t="s">
        <v>26</v>
      </c>
      <c r="J9" s="75">
        <v>82</v>
      </c>
      <c r="K9" s="75">
        <v>26</v>
      </c>
      <c r="L9" s="75">
        <v>15</v>
      </c>
      <c r="M9" s="75">
        <v>18</v>
      </c>
      <c r="N9" s="75">
        <f t="shared" si="5"/>
        <v>141</v>
      </c>
      <c r="O9" s="82"/>
      <c r="P9" s="82"/>
      <c r="Q9" s="76">
        <f>N9</f>
        <v>141</v>
      </c>
      <c r="R9" s="77"/>
      <c r="S9" s="77"/>
      <c r="T9" s="77"/>
      <c r="U9" s="77"/>
      <c r="V9" s="77">
        <f>RANK(Q9,$Q$4:$Q$51,0)</f>
        <v>8</v>
      </c>
      <c r="W9" s="77">
        <f>COUNTIF($V$4:$V$51,V9)</f>
        <v>1</v>
      </c>
      <c r="X9" s="86"/>
      <c r="Y9" s="86"/>
      <c r="Z9" s="86">
        <f>SUM(K9,L9,M9)</f>
        <v>59</v>
      </c>
      <c r="AA9" s="98"/>
      <c r="AB9" s="98"/>
      <c r="AC9" s="98">
        <f>RANK(Z9,$Z$4:$Z$51,1)</f>
        <v>1</v>
      </c>
      <c r="AD9" s="98"/>
      <c r="AE9" s="98"/>
      <c r="AF9" s="98">
        <f>N9+(AC9/100000)</f>
        <v>141.00001</v>
      </c>
      <c r="AG9" s="99"/>
      <c r="AH9" s="99"/>
      <c r="AI9" s="99"/>
      <c r="AJ9" s="99"/>
      <c r="AK9" s="99">
        <f>RANK(AF9,$AF$4:$AF$51,0)</f>
        <v>8</v>
      </c>
      <c r="AL9" s="99">
        <f>COUNTIF($AK$4:$AK$51,AK9)</f>
        <v>1</v>
      </c>
      <c r="AM9" s="105"/>
      <c r="AN9" s="105"/>
      <c r="AO9" s="105">
        <f>K9</f>
        <v>26</v>
      </c>
      <c r="AP9" s="109"/>
      <c r="AQ9" s="109"/>
      <c r="AR9" s="109">
        <f>RANK(AO9,$AO$4:$AO$51,1)</f>
        <v>1</v>
      </c>
      <c r="AS9" s="109"/>
      <c r="AT9" s="109"/>
      <c r="AU9" s="109">
        <f>(N9+(AC9/100000))-N9+(N9+(AR9/100000))</f>
        <v>141.00002</v>
      </c>
      <c r="AV9" s="105"/>
      <c r="AW9" s="105"/>
      <c r="AX9" s="105">
        <f>RANK(AU9,$AU$4:$AU$51,0)</f>
        <v>8</v>
      </c>
      <c r="AY9" s="172">
        <f>IF(W9=1,V9,IF(AL9=1,AK9,AX9))</f>
        <v>8</v>
      </c>
      <c r="AZ9" s="326"/>
      <c r="BA9" s="323"/>
    </row>
    <row r="10" spans="1:53" ht="14.25" customHeight="1">
      <c r="A10" s="91">
        <v>12</v>
      </c>
      <c r="B10" s="91">
        <v>6</v>
      </c>
      <c r="C10" s="91">
        <v>6</v>
      </c>
      <c r="F10" s="330" t="str">
        <f>IF('Jmený seznam'!D11,'Jmený seznam'!C11)</f>
        <v>Moravskoslezský</v>
      </c>
      <c r="G10" s="30">
        <v>7</v>
      </c>
      <c r="H10" s="55" t="str">
        <f>IF('Jmený seznam'!D11,'Jmený seznam'!E11)</f>
        <v>Dresler Dominik</v>
      </c>
      <c r="I10" s="56" t="s">
        <v>20</v>
      </c>
      <c r="J10" s="57">
        <v>100</v>
      </c>
      <c r="K10" s="57">
        <v>40</v>
      </c>
      <c r="L10" s="57">
        <v>28</v>
      </c>
      <c r="M10" s="57">
        <v>30</v>
      </c>
      <c r="N10" s="57">
        <f t="shared" si="5"/>
        <v>198</v>
      </c>
      <c r="O10" s="58">
        <f t="shared" si="0"/>
        <v>198</v>
      </c>
      <c r="P10" s="81"/>
      <c r="Q10" s="81"/>
      <c r="R10" s="59">
        <f t="shared" si="1"/>
        <v>1</v>
      </c>
      <c r="S10" s="113">
        <f>COUNTIF($R$4:$R$51,R10)</f>
        <v>1</v>
      </c>
      <c r="T10" s="59"/>
      <c r="U10" s="59"/>
      <c r="V10" s="59"/>
      <c r="W10" s="59"/>
      <c r="X10" s="83">
        <f t="shared" si="2"/>
        <v>98</v>
      </c>
      <c r="Y10" s="83"/>
      <c r="Z10" s="83"/>
      <c r="AA10" s="89">
        <f>RANK(X10,$X$4:$X$51,1)</f>
        <v>32</v>
      </c>
      <c r="AB10" s="89"/>
      <c r="AC10" s="89"/>
      <c r="AD10" s="89">
        <f t="shared" si="6"/>
        <v>198.00032</v>
      </c>
      <c r="AE10" s="89"/>
      <c r="AF10" s="89"/>
      <c r="AG10" s="93">
        <f t="shared" si="3"/>
        <v>1</v>
      </c>
      <c r="AH10" s="93">
        <f>COUNTIF($AG$4:$AG$51,AG10)</f>
        <v>1</v>
      </c>
      <c r="AI10" s="93"/>
      <c r="AJ10" s="93"/>
      <c r="AK10" s="93"/>
      <c r="AL10" s="93"/>
      <c r="AM10" s="103">
        <f t="shared" si="4"/>
        <v>40</v>
      </c>
      <c r="AN10" s="103"/>
      <c r="AO10" s="103"/>
      <c r="AP10" s="107">
        <f>RANK(AM10,$AM$4:$AM$51,1)</f>
        <v>29</v>
      </c>
      <c r="AQ10" s="107"/>
      <c r="AR10" s="107"/>
      <c r="AS10" s="111">
        <f aca="true" t="shared" si="7" ref="AS10:AS49">(N10+(AA10/100000))-N10+(N10+(AP10/100000))</f>
        <v>198.00061</v>
      </c>
      <c r="AT10" s="107"/>
      <c r="AU10" s="107"/>
      <c r="AV10" s="112">
        <f>RANK(AS10,$AS$4:$AS$51,0)</f>
        <v>1</v>
      </c>
      <c r="AW10" s="103"/>
      <c r="AX10" s="103"/>
      <c r="AY10" s="246">
        <f>IF(S10=1,R10,IF(AH10=1,AG10,AV10))</f>
        <v>1</v>
      </c>
      <c r="AZ10" s="324">
        <f>SUM(AY10:AY15)</f>
        <v>25</v>
      </c>
      <c r="BA10" s="321">
        <f>RANK(AZ10,$AZ$4:$AZ$51,1)</f>
        <v>1</v>
      </c>
    </row>
    <row r="11" spans="1:53" ht="14.25" customHeight="1">
      <c r="A11" s="91">
        <v>14</v>
      </c>
      <c r="B11" s="91">
        <v>7</v>
      </c>
      <c r="C11" s="91">
        <v>7</v>
      </c>
      <c r="F11" s="331"/>
      <c r="G11" s="28">
        <v>8</v>
      </c>
      <c r="H11" s="60" t="str">
        <f>IF('Jmený seznam'!D12,'Jmený seznam'!E12)</f>
        <v>Bernatík Tomáš</v>
      </c>
      <c r="I11" s="51" t="s">
        <v>20</v>
      </c>
      <c r="J11" s="52">
        <v>90</v>
      </c>
      <c r="K11" s="52">
        <v>40</v>
      </c>
      <c r="L11" s="52">
        <v>28</v>
      </c>
      <c r="M11" s="52">
        <v>24</v>
      </c>
      <c r="N11" s="52">
        <f t="shared" si="5"/>
        <v>182</v>
      </c>
      <c r="O11" s="53">
        <f t="shared" si="0"/>
        <v>182</v>
      </c>
      <c r="P11" s="79"/>
      <c r="Q11" s="79"/>
      <c r="R11" s="54">
        <f t="shared" si="1"/>
        <v>10</v>
      </c>
      <c r="S11" s="54">
        <f>COUNTIF($R$4:$R$51,R11)</f>
        <v>3</v>
      </c>
      <c r="T11" s="54"/>
      <c r="U11" s="54"/>
      <c r="V11" s="54"/>
      <c r="W11" s="54"/>
      <c r="X11" s="84">
        <f t="shared" si="2"/>
        <v>92</v>
      </c>
      <c r="Y11" s="84"/>
      <c r="Z11" s="84"/>
      <c r="AA11" s="90">
        <f>RANK(X11,$X$4:$X$51,1)</f>
        <v>25</v>
      </c>
      <c r="AB11" s="90"/>
      <c r="AC11" s="90"/>
      <c r="AD11" s="90">
        <f t="shared" si="6"/>
        <v>182.00025</v>
      </c>
      <c r="AE11" s="90"/>
      <c r="AF11" s="90"/>
      <c r="AG11" s="95">
        <f t="shared" si="3"/>
        <v>11</v>
      </c>
      <c r="AH11" s="95">
        <f>COUNTIF($AG$4:$AG$51,AG11)</f>
        <v>3</v>
      </c>
      <c r="AI11" s="95"/>
      <c r="AJ11" s="95"/>
      <c r="AK11" s="95"/>
      <c r="AL11" s="95"/>
      <c r="AM11" s="104">
        <f t="shared" si="4"/>
        <v>40</v>
      </c>
      <c r="AN11" s="104"/>
      <c r="AO11" s="104"/>
      <c r="AP11" s="108">
        <f>RANK(AM11,$AM$4:$AM$51,1)</f>
        <v>29</v>
      </c>
      <c r="AQ11" s="108"/>
      <c r="AR11" s="108"/>
      <c r="AS11" s="108">
        <f t="shared" si="7"/>
        <v>182.00054</v>
      </c>
      <c r="AT11" s="108"/>
      <c r="AU11" s="108"/>
      <c r="AV11" s="104">
        <f>RANK(AS11,$AS$4:$AS$51,0)</f>
        <v>10</v>
      </c>
      <c r="AW11" s="104"/>
      <c r="AX11" s="104"/>
      <c r="AY11" s="131">
        <f>IF(S11=1,R11,IF(AH11=1,AG11,AV11))</f>
        <v>10</v>
      </c>
      <c r="AZ11" s="325"/>
      <c r="BA11" s="322"/>
    </row>
    <row r="12" spans="1:53" ht="14.25" customHeight="1">
      <c r="A12" s="91">
        <v>16</v>
      </c>
      <c r="B12" s="91">
        <v>8</v>
      </c>
      <c r="C12" s="91">
        <v>8</v>
      </c>
      <c r="F12" s="331"/>
      <c r="G12" s="28">
        <v>9</v>
      </c>
      <c r="H12" s="60" t="str">
        <f>IF('Jmený seznam'!D13,'Jmený seznam'!E13)</f>
        <v>Wróblová Taťána</v>
      </c>
      <c r="I12" s="51" t="s">
        <v>20</v>
      </c>
      <c r="J12" s="52">
        <v>100</v>
      </c>
      <c r="K12" s="52">
        <v>37</v>
      </c>
      <c r="L12" s="52">
        <v>24</v>
      </c>
      <c r="M12" s="52">
        <v>26</v>
      </c>
      <c r="N12" s="52">
        <f t="shared" si="5"/>
        <v>187</v>
      </c>
      <c r="O12" s="53">
        <f t="shared" si="0"/>
        <v>187</v>
      </c>
      <c r="P12" s="79"/>
      <c r="Q12" s="79"/>
      <c r="R12" s="54">
        <f t="shared" si="1"/>
        <v>6</v>
      </c>
      <c r="S12" s="54">
        <f>COUNTIF($R$4:$R$51,R12)</f>
        <v>1</v>
      </c>
      <c r="T12" s="54"/>
      <c r="U12" s="54"/>
      <c r="V12" s="54"/>
      <c r="W12" s="54"/>
      <c r="X12" s="84">
        <f t="shared" si="2"/>
        <v>87</v>
      </c>
      <c r="Y12" s="84"/>
      <c r="Z12" s="84"/>
      <c r="AA12" s="90">
        <f>RANK(X12,$X$4:$X$51,1)</f>
        <v>22</v>
      </c>
      <c r="AB12" s="90"/>
      <c r="AC12" s="90"/>
      <c r="AD12" s="90">
        <f t="shared" si="6"/>
        <v>187.00022</v>
      </c>
      <c r="AE12" s="90"/>
      <c r="AF12" s="90"/>
      <c r="AG12" s="95">
        <f t="shared" si="3"/>
        <v>7</v>
      </c>
      <c r="AH12" s="95">
        <f>COUNTIF($AG$4:$AG$51,AG12)</f>
        <v>1</v>
      </c>
      <c r="AI12" s="95"/>
      <c r="AJ12" s="95"/>
      <c r="AK12" s="95"/>
      <c r="AL12" s="95"/>
      <c r="AM12" s="104">
        <f t="shared" si="4"/>
        <v>37</v>
      </c>
      <c r="AN12" s="104"/>
      <c r="AO12" s="104"/>
      <c r="AP12" s="108">
        <f>RANK(AM12,$AM$4:$AM$51,1)</f>
        <v>21</v>
      </c>
      <c r="AQ12" s="108"/>
      <c r="AR12" s="108"/>
      <c r="AS12" s="108">
        <f t="shared" si="7"/>
        <v>187.00043000000002</v>
      </c>
      <c r="AT12" s="108"/>
      <c r="AU12" s="108"/>
      <c r="AV12" s="104">
        <f>RANK(AS12,$AS$4:$AS$51,0)</f>
        <v>6</v>
      </c>
      <c r="AW12" s="104"/>
      <c r="AX12" s="104"/>
      <c r="AY12" s="131">
        <f>IF(S12=1,R12,IF(AH12=1,AG12,AV12))</f>
        <v>6</v>
      </c>
      <c r="AZ12" s="325"/>
      <c r="BA12" s="322"/>
    </row>
    <row r="13" spans="1:53" ht="14.25" customHeight="1">
      <c r="A13" s="91">
        <v>18</v>
      </c>
      <c r="B13" s="91">
        <v>9</v>
      </c>
      <c r="C13" s="91">
        <v>9</v>
      </c>
      <c r="F13" s="331"/>
      <c r="G13" s="28">
        <v>10</v>
      </c>
      <c r="H13" s="60" t="str">
        <f>IF('Jmený seznam'!D14,'Jmený seznam'!E14)</f>
        <v>Zemánková Johanka</v>
      </c>
      <c r="I13" s="51" t="s">
        <v>20</v>
      </c>
      <c r="J13" s="52">
        <v>100</v>
      </c>
      <c r="K13" s="52">
        <v>38</v>
      </c>
      <c r="L13" s="52">
        <v>28</v>
      </c>
      <c r="M13" s="52">
        <v>29</v>
      </c>
      <c r="N13" s="52">
        <f t="shared" si="5"/>
        <v>195</v>
      </c>
      <c r="O13" s="53">
        <f t="shared" si="0"/>
        <v>195</v>
      </c>
      <c r="P13" s="79"/>
      <c r="Q13" s="79"/>
      <c r="R13" s="54">
        <f t="shared" si="1"/>
        <v>2</v>
      </c>
      <c r="S13" s="54">
        <f>COUNTIF($R$4:$R$51,R13)</f>
        <v>1</v>
      </c>
      <c r="T13" s="54"/>
      <c r="U13" s="54"/>
      <c r="V13" s="54"/>
      <c r="W13" s="54"/>
      <c r="X13" s="84">
        <f t="shared" si="2"/>
        <v>95</v>
      </c>
      <c r="Y13" s="84"/>
      <c r="Z13" s="84"/>
      <c r="AA13" s="90">
        <f>RANK(X13,$X$4:$X$51,1)</f>
        <v>30</v>
      </c>
      <c r="AB13" s="90"/>
      <c r="AC13" s="90"/>
      <c r="AD13" s="90">
        <f t="shared" si="6"/>
        <v>195.0003</v>
      </c>
      <c r="AE13" s="90"/>
      <c r="AF13" s="90"/>
      <c r="AG13" s="95">
        <f t="shared" si="3"/>
        <v>2</v>
      </c>
      <c r="AH13" s="95">
        <f>COUNTIF($AG$4:$AG$51,AG13)</f>
        <v>1</v>
      </c>
      <c r="AI13" s="95"/>
      <c r="AJ13" s="95"/>
      <c r="AK13" s="95"/>
      <c r="AL13" s="95"/>
      <c r="AM13" s="104">
        <f t="shared" si="4"/>
        <v>38</v>
      </c>
      <c r="AN13" s="104"/>
      <c r="AO13" s="104"/>
      <c r="AP13" s="108">
        <f>RANK(AM13,$AM$4:$AM$51,1)</f>
        <v>23</v>
      </c>
      <c r="AQ13" s="108"/>
      <c r="AR13" s="108"/>
      <c r="AS13" s="108">
        <f t="shared" si="7"/>
        <v>195.00053</v>
      </c>
      <c r="AT13" s="108"/>
      <c r="AU13" s="108"/>
      <c r="AV13" s="104">
        <f>RANK(AS13,$AS$4:$AS$51,0)</f>
        <v>2</v>
      </c>
      <c r="AW13" s="104"/>
      <c r="AX13" s="104"/>
      <c r="AY13" s="247">
        <f>IF(S13=1,R13,IF(AH13=1,AG13,AV13))</f>
        <v>2</v>
      </c>
      <c r="AZ13" s="325"/>
      <c r="BA13" s="322"/>
    </row>
    <row r="14" spans="1:53" ht="14.25" customHeight="1">
      <c r="A14" s="91">
        <v>20</v>
      </c>
      <c r="B14" s="91">
        <v>10</v>
      </c>
      <c r="C14" s="91">
        <v>10</v>
      </c>
      <c r="F14" s="331"/>
      <c r="G14" s="28">
        <v>11</v>
      </c>
      <c r="H14" s="60" t="str">
        <f>IF('Jmený seznam'!D15,'Jmený seznam'!E15)</f>
        <v>Kepáková Natálie</v>
      </c>
      <c r="I14" s="51" t="s">
        <v>24</v>
      </c>
      <c r="J14" s="52">
        <v>98</v>
      </c>
      <c r="K14" s="52">
        <v>35</v>
      </c>
      <c r="L14" s="52">
        <v>26</v>
      </c>
      <c r="M14" s="52">
        <v>28</v>
      </c>
      <c r="N14" s="52">
        <f t="shared" si="5"/>
        <v>187</v>
      </c>
      <c r="O14" s="79"/>
      <c r="P14" s="53">
        <f>N14</f>
        <v>187</v>
      </c>
      <c r="Q14" s="79"/>
      <c r="R14" s="54"/>
      <c r="S14" s="54"/>
      <c r="T14" s="54">
        <f>RANK(P14,$P$4:$P$51,0)</f>
        <v>3</v>
      </c>
      <c r="U14" s="54">
        <f>COUNTIF($T$4:$T$51,T14)</f>
        <v>1</v>
      </c>
      <c r="V14" s="54"/>
      <c r="W14" s="54"/>
      <c r="X14" s="84">
        <f t="shared" si="2"/>
        <v>89</v>
      </c>
      <c r="Y14" s="84">
        <f>SUM(K14,L14,M14)</f>
        <v>89</v>
      </c>
      <c r="Z14" s="84"/>
      <c r="AA14" s="90">
        <f>RANK(X14,$X$4:$X$51,1)</f>
        <v>24</v>
      </c>
      <c r="AB14" s="90">
        <f>RANK(Y14,$Y$4:$Y$51,1)</f>
        <v>6</v>
      </c>
      <c r="AC14" s="90"/>
      <c r="AD14" s="90">
        <f t="shared" si="6"/>
        <v>187.00024</v>
      </c>
      <c r="AE14" s="90">
        <f>N14+(AB14/100000)</f>
        <v>187.00006</v>
      </c>
      <c r="AF14" s="90"/>
      <c r="AG14" s="95">
        <f t="shared" si="3"/>
        <v>6</v>
      </c>
      <c r="AH14" s="95">
        <f>COUNTIF($AG$4:$AG$51,AG14)</f>
        <v>1</v>
      </c>
      <c r="AI14" s="95">
        <f>RANK(AE14,$AE$4:$AE$51,0)</f>
        <v>3</v>
      </c>
      <c r="AJ14" s="95">
        <f>COUNTIF($AI$4:$AI$51,AI14)</f>
        <v>1</v>
      </c>
      <c r="AK14" s="95"/>
      <c r="AL14" s="95"/>
      <c r="AM14" s="104"/>
      <c r="AN14" s="104">
        <f>K14</f>
        <v>35</v>
      </c>
      <c r="AO14" s="104"/>
      <c r="AP14" s="108"/>
      <c r="AQ14" s="108">
        <f>RANK(AN14,$AN$4:$AN$51,1)</f>
        <v>7</v>
      </c>
      <c r="AR14" s="108"/>
      <c r="AS14" s="108"/>
      <c r="AT14" s="108">
        <f>(N14+(AB14/100000))-N14+(N14+(AQ14/100000))</f>
        <v>187.00012999999998</v>
      </c>
      <c r="AU14" s="108"/>
      <c r="AV14" s="104"/>
      <c r="AW14" s="104">
        <f>RANK(AT14,$AT$4:$AT$51,0)</f>
        <v>3</v>
      </c>
      <c r="AX14" s="104"/>
      <c r="AY14" s="131">
        <f>IF(U14=1,T14,IF(AJ14=1,AI14,AW14))</f>
        <v>3</v>
      </c>
      <c r="AZ14" s="325"/>
      <c r="BA14" s="322"/>
    </row>
    <row r="15" spans="1:53" ht="14.25" customHeight="1" thickBot="1">
      <c r="A15" s="91">
        <v>22</v>
      </c>
      <c r="B15" s="91">
        <v>11</v>
      </c>
      <c r="C15" s="91">
        <v>11</v>
      </c>
      <c r="F15" s="332"/>
      <c r="G15" s="29">
        <v>12</v>
      </c>
      <c r="H15" s="73" t="str">
        <f>IF('Jmený seznam'!D16,'Jmený seznam'!E16)</f>
        <v>Tichý Štefan</v>
      </c>
      <c r="I15" s="74" t="s">
        <v>26</v>
      </c>
      <c r="J15" s="75">
        <v>98</v>
      </c>
      <c r="K15" s="75">
        <v>35</v>
      </c>
      <c r="L15" s="75">
        <v>30</v>
      </c>
      <c r="M15" s="75">
        <v>30</v>
      </c>
      <c r="N15" s="75">
        <f t="shared" si="5"/>
        <v>193</v>
      </c>
      <c r="O15" s="82"/>
      <c r="P15" s="82"/>
      <c r="Q15" s="76">
        <f>N15</f>
        <v>193</v>
      </c>
      <c r="R15" s="77"/>
      <c r="S15" s="77"/>
      <c r="T15" s="77"/>
      <c r="U15" s="77"/>
      <c r="V15" s="77">
        <f>RANK(Q15,$Q$4:$Q$51,0)</f>
        <v>3</v>
      </c>
      <c r="W15" s="77">
        <f>COUNTIF($V$4:$V$51,V15)</f>
        <v>1</v>
      </c>
      <c r="X15" s="86"/>
      <c r="Y15" s="86"/>
      <c r="Z15" s="86">
        <f>SUM(K15,L15,M15)</f>
        <v>95</v>
      </c>
      <c r="AA15" s="98"/>
      <c r="AB15" s="98"/>
      <c r="AC15" s="98">
        <f>RANK(Z15,$Z$4:$Z$51,1)</f>
        <v>6</v>
      </c>
      <c r="AD15" s="98"/>
      <c r="AE15" s="98"/>
      <c r="AF15" s="98">
        <f>N15+(AC15/100000)</f>
        <v>193.00006</v>
      </c>
      <c r="AG15" s="99"/>
      <c r="AH15" s="99"/>
      <c r="AI15" s="99"/>
      <c r="AJ15" s="99"/>
      <c r="AK15" s="99">
        <f>RANK(AF15,$AF$4:$AF$51,0)</f>
        <v>3</v>
      </c>
      <c r="AL15" s="99">
        <f>COUNTIF($AK$4:$AK$51,AK15)</f>
        <v>1</v>
      </c>
      <c r="AM15" s="105"/>
      <c r="AN15" s="105"/>
      <c r="AO15" s="105">
        <f>K15</f>
        <v>35</v>
      </c>
      <c r="AP15" s="109"/>
      <c r="AQ15" s="109"/>
      <c r="AR15" s="109">
        <f>RANK(AO15,$AO$4:$AO$51,1)</f>
        <v>3</v>
      </c>
      <c r="AS15" s="109"/>
      <c r="AT15" s="109"/>
      <c r="AU15" s="109">
        <f>(N15+(AC15/100000))-N15+(N15+(AR15/100000))</f>
        <v>193.00009</v>
      </c>
      <c r="AV15" s="105"/>
      <c r="AW15" s="105"/>
      <c r="AX15" s="105">
        <f>RANK(AU15,$AU$4:$AU$51,0)</f>
        <v>3</v>
      </c>
      <c r="AY15" s="172">
        <f>IF(W15=1,V15,IF(AL15=1,AK15,AX15))</f>
        <v>3</v>
      </c>
      <c r="AZ15" s="326"/>
      <c r="BA15" s="323"/>
    </row>
    <row r="16" spans="1:53" ht="14.25" customHeight="1">
      <c r="A16" s="91">
        <v>24</v>
      </c>
      <c r="B16" s="91">
        <v>12</v>
      </c>
      <c r="C16" s="91">
        <v>12</v>
      </c>
      <c r="F16" s="333" t="str">
        <f>IF('Jmený seznam'!D17,'Jmený seznam'!C17)</f>
        <v>Západočeský</v>
      </c>
      <c r="G16" s="25">
        <v>13</v>
      </c>
      <c r="H16" s="55" t="str">
        <f>IF('Jmený seznam'!D17,'Jmený seznam'!E17)</f>
        <v>Schleiss Jakub</v>
      </c>
      <c r="I16" s="56" t="s">
        <v>20</v>
      </c>
      <c r="J16" s="57">
        <v>90</v>
      </c>
      <c r="K16" s="57">
        <v>38</v>
      </c>
      <c r="L16" s="57">
        <v>28</v>
      </c>
      <c r="M16" s="57">
        <v>26</v>
      </c>
      <c r="N16" s="57">
        <f t="shared" si="5"/>
        <v>182</v>
      </c>
      <c r="O16" s="58">
        <f t="shared" si="0"/>
        <v>182</v>
      </c>
      <c r="P16" s="81"/>
      <c r="Q16" s="81"/>
      <c r="R16" s="59">
        <f t="shared" si="1"/>
        <v>10</v>
      </c>
      <c r="S16" s="113">
        <f>COUNTIF($R$4:$R$51,R16)</f>
        <v>3</v>
      </c>
      <c r="T16" s="59"/>
      <c r="U16" s="59"/>
      <c r="V16" s="59"/>
      <c r="W16" s="59"/>
      <c r="X16" s="83">
        <f t="shared" si="2"/>
        <v>92</v>
      </c>
      <c r="Y16" s="83"/>
      <c r="Z16" s="83"/>
      <c r="AA16" s="89">
        <f>RANK(X16,$X$4:$X$51,1)</f>
        <v>25</v>
      </c>
      <c r="AB16" s="89"/>
      <c r="AC16" s="89"/>
      <c r="AD16" s="89">
        <f t="shared" si="6"/>
        <v>182.00025</v>
      </c>
      <c r="AE16" s="89"/>
      <c r="AF16" s="89"/>
      <c r="AG16" s="93">
        <f t="shared" si="3"/>
        <v>11</v>
      </c>
      <c r="AH16" s="93">
        <f>COUNTIF($AG$4:$AG$51,AG16)</f>
        <v>3</v>
      </c>
      <c r="AI16" s="93"/>
      <c r="AJ16" s="93"/>
      <c r="AK16" s="93"/>
      <c r="AL16" s="93"/>
      <c r="AM16" s="103">
        <f t="shared" si="4"/>
        <v>38</v>
      </c>
      <c r="AN16" s="103"/>
      <c r="AO16" s="103"/>
      <c r="AP16" s="107">
        <f>RANK(AM16,$AM$4:$AM$51,1)</f>
        <v>23</v>
      </c>
      <c r="AQ16" s="107"/>
      <c r="AR16" s="107"/>
      <c r="AS16" s="111">
        <f>(N16+(AA16/100000))-N16+(N16+(AP16/100000))</f>
        <v>182.00047999999998</v>
      </c>
      <c r="AT16" s="107"/>
      <c r="AU16" s="107"/>
      <c r="AV16" s="112">
        <f>RANK(AS16,$AS$4:$AS$51,0)</f>
        <v>11</v>
      </c>
      <c r="AW16" s="103"/>
      <c r="AX16" s="103"/>
      <c r="AY16" s="246">
        <f>IF(S16=1,R16,IF(AH16=1,AG16,AV16))</f>
        <v>11</v>
      </c>
      <c r="AZ16" s="324">
        <f>SUM(AY16:AY21)</f>
        <v>40</v>
      </c>
      <c r="BA16" s="321">
        <f>RANK(AZ16,$AZ$4:$AZ$51,1)</f>
        <v>2</v>
      </c>
    </row>
    <row r="17" spans="1:53" ht="14.25" customHeight="1">
      <c r="A17" s="91">
        <v>26</v>
      </c>
      <c r="B17" s="91">
        <v>13</v>
      </c>
      <c r="C17" s="91">
        <v>13</v>
      </c>
      <c r="F17" s="331"/>
      <c r="G17" s="28">
        <v>14</v>
      </c>
      <c r="H17" s="60" t="str">
        <f>IF('Jmený seznam'!D18,'Jmený seznam'!E18)</f>
        <v>Schleiss Stanislav</v>
      </c>
      <c r="I17" s="51" t="s">
        <v>20</v>
      </c>
      <c r="J17" s="52">
        <v>96</v>
      </c>
      <c r="K17" s="52">
        <v>40</v>
      </c>
      <c r="L17" s="52">
        <v>28</v>
      </c>
      <c r="M17" s="52">
        <v>30</v>
      </c>
      <c r="N17" s="52">
        <f t="shared" si="5"/>
        <v>194</v>
      </c>
      <c r="O17" s="53">
        <f t="shared" si="0"/>
        <v>194</v>
      </c>
      <c r="P17" s="79"/>
      <c r="Q17" s="79"/>
      <c r="R17" s="54">
        <f t="shared" si="1"/>
        <v>3</v>
      </c>
      <c r="S17" s="54">
        <f>COUNTIF($R$4:$R$51,R17)</f>
        <v>2</v>
      </c>
      <c r="T17" s="54"/>
      <c r="U17" s="54"/>
      <c r="V17" s="54"/>
      <c r="W17" s="54"/>
      <c r="X17" s="84">
        <f t="shared" si="2"/>
        <v>98</v>
      </c>
      <c r="Y17" s="84"/>
      <c r="Z17" s="84"/>
      <c r="AA17" s="90">
        <f>RANK(X17,$X$4:$X$51,1)</f>
        <v>32</v>
      </c>
      <c r="AB17" s="90"/>
      <c r="AC17" s="90"/>
      <c r="AD17" s="90">
        <f t="shared" si="6"/>
        <v>194.00032</v>
      </c>
      <c r="AE17" s="90"/>
      <c r="AF17" s="90"/>
      <c r="AG17" s="95">
        <f t="shared" si="3"/>
        <v>3</v>
      </c>
      <c r="AH17" s="95">
        <f>COUNTIF($AG$4:$AG$51,AG17)</f>
        <v>1</v>
      </c>
      <c r="AI17" s="95"/>
      <c r="AJ17" s="95"/>
      <c r="AK17" s="95"/>
      <c r="AL17" s="95"/>
      <c r="AM17" s="104">
        <f t="shared" si="4"/>
        <v>40</v>
      </c>
      <c r="AN17" s="104"/>
      <c r="AO17" s="104"/>
      <c r="AP17" s="108">
        <f>RANK(AM17,$AM$4:$AM$51,1)</f>
        <v>29</v>
      </c>
      <c r="AQ17" s="108"/>
      <c r="AR17" s="108"/>
      <c r="AS17" s="108">
        <f t="shared" si="7"/>
        <v>194.00061</v>
      </c>
      <c r="AT17" s="108"/>
      <c r="AU17" s="108"/>
      <c r="AV17" s="104">
        <f>RANK(AS17,$AS$4:$AS$51,0)</f>
        <v>3</v>
      </c>
      <c r="AW17" s="104"/>
      <c r="AX17" s="104"/>
      <c r="AY17" s="131">
        <f>IF(S17=1,R17,IF(AH17=1,AG17,AV17))</f>
        <v>3</v>
      </c>
      <c r="AZ17" s="325"/>
      <c r="BA17" s="322"/>
    </row>
    <row r="18" spans="1:53" ht="14.25" customHeight="1">
      <c r="A18" s="91">
        <v>28</v>
      </c>
      <c r="B18" s="91">
        <v>14</v>
      </c>
      <c r="C18" s="91">
        <v>14</v>
      </c>
      <c r="F18" s="331"/>
      <c r="G18" s="28">
        <v>15</v>
      </c>
      <c r="H18" s="60" t="str">
        <f>IF('Jmený seznam'!D19,'Jmený seznam'!E19)</f>
        <v>Vejvančický Matěj</v>
      </c>
      <c r="I18" s="51" t="s">
        <v>20</v>
      </c>
      <c r="J18" s="52">
        <v>90</v>
      </c>
      <c r="K18" s="52">
        <v>37</v>
      </c>
      <c r="L18" s="52">
        <v>29</v>
      </c>
      <c r="M18" s="52">
        <v>30</v>
      </c>
      <c r="N18" s="52">
        <f t="shared" si="5"/>
        <v>186</v>
      </c>
      <c r="O18" s="53">
        <f t="shared" si="0"/>
        <v>186</v>
      </c>
      <c r="P18" s="79"/>
      <c r="Q18" s="79"/>
      <c r="R18" s="54">
        <f t="shared" si="1"/>
        <v>7</v>
      </c>
      <c r="S18" s="54">
        <f>COUNTIF($R$4:$R$51,R18)</f>
        <v>1</v>
      </c>
      <c r="T18" s="54"/>
      <c r="U18" s="54"/>
      <c r="V18" s="54"/>
      <c r="W18" s="54"/>
      <c r="X18" s="84">
        <f t="shared" si="2"/>
        <v>96</v>
      </c>
      <c r="Y18" s="84"/>
      <c r="Z18" s="84"/>
      <c r="AA18" s="90">
        <f>RANK(X18,$X$4:$X$51,1)</f>
        <v>31</v>
      </c>
      <c r="AB18" s="90"/>
      <c r="AC18" s="90"/>
      <c r="AD18" s="90">
        <f t="shared" si="6"/>
        <v>186.00031</v>
      </c>
      <c r="AE18" s="90"/>
      <c r="AF18" s="90"/>
      <c r="AG18" s="95">
        <f t="shared" si="3"/>
        <v>8</v>
      </c>
      <c r="AH18" s="95">
        <f>COUNTIF($AG$4:$AG$51,AG18)</f>
        <v>1</v>
      </c>
      <c r="AI18" s="95"/>
      <c r="AJ18" s="95"/>
      <c r="AK18" s="95"/>
      <c r="AL18" s="95"/>
      <c r="AM18" s="104">
        <f t="shared" si="4"/>
        <v>37</v>
      </c>
      <c r="AN18" s="104"/>
      <c r="AO18" s="104"/>
      <c r="AP18" s="108">
        <f>RANK(AM18,$AM$4:$AM$51,1)</f>
        <v>21</v>
      </c>
      <c r="AQ18" s="108"/>
      <c r="AR18" s="108"/>
      <c r="AS18" s="108">
        <f t="shared" si="7"/>
        <v>186.00052000000002</v>
      </c>
      <c r="AT18" s="108"/>
      <c r="AU18" s="108"/>
      <c r="AV18" s="104">
        <f>RANK(AS18,$AS$4:$AS$51,0)</f>
        <v>7</v>
      </c>
      <c r="AW18" s="104"/>
      <c r="AX18" s="104"/>
      <c r="AY18" s="131">
        <f>IF(S18=1,R18,IF(AH18=1,AG18,AV18))</f>
        <v>7</v>
      </c>
      <c r="AZ18" s="325"/>
      <c r="BA18" s="322"/>
    </row>
    <row r="19" spans="1:53" ht="14.25" customHeight="1">
      <c r="A19" s="91">
        <v>30</v>
      </c>
      <c r="B19" s="91">
        <v>15</v>
      </c>
      <c r="C19" s="91">
        <v>15</v>
      </c>
      <c r="F19" s="331"/>
      <c r="G19" s="28">
        <v>16</v>
      </c>
      <c r="H19" s="60" t="str">
        <f>IF('Jmený seznam'!D20,'Jmený seznam'!E20)</f>
        <v>Havránek David</v>
      </c>
      <c r="I19" s="51" t="s">
        <v>20</v>
      </c>
      <c r="J19" s="52">
        <v>98</v>
      </c>
      <c r="K19" s="52">
        <v>40</v>
      </c>
      <c r="L19" s="52">
        <v>26</v>
      </c>
      <c r="M19" s="52">
        <v>26</v>
      </c>
      <c r="N19" s="52">
        <f t="shared" si="5"/>
        <v>190</v>
      </c>
      <c r="O19" s="53">
        <f t="shared" si="0"/>
        <v>190</v>
      </c>
      <c r="P19" s="79"/>
      <c r="Q19" s="79"/>
      <c r="R19" s="54">
        <f t="shared" si="1"/>
        <v>5</v>
      </c>
      <c r="S19" s="54">
        <f>COUNTIF($R$4:$R$51,R19)</f>
        <v>1</v>
      </c>
      <c r="T19" s="54"/>
      <c r="U19" s="54"/>
      <c r="V19" s="54"/>
      <c r="W19" s="54"/>
      <c r="X19" s="84">
        <f t="shared" si="2"/>
        <v>92</v>
      </c>
      <c r="Y19" s="84"/>
      <c r="Z19" s="84"/>
      <c r="AA19" s="90">
        <f>RANK(X19,$X$4:$X$51,1)</f>
        <v>25</v>
      </c>
      <c r="AB19" s="90"/>
      <c r="AC19" s="90"/>
      <c r="AD19" s="90">
        <f t="shared" si="6"/>
        <v>190.00025</v>
      </c>
      <c r="AE19" s="90"/>
      <c r="AF19" s="90"/>
      <c r="AG19" s="95">
        <f t="shared" si="3"/>
        <v>5</v>
      </c>
      <c r="AH19" s="95">
        <f>COUNTIF($AG$4:$AG$51,AG19)</f>
        <v>1</v>
      </c>
      <c r="AI19" s="95"/>
      <c r="AJ19" s="95"/>
      <c r="AK19" s="95"/>
      <c r="AL19" s="95"/>
      <c r="AM19" s="104">
        <f t="shared" si="4"/>
        <v>40</v>
      </c>
      <c r="AN19" s="104"/>
      <c r="AO19" s="104"/>
      <c r="AP19" s="108">
        <f>RANK(AM19,$AM$4:$AM$51,1)</f>
        <v>29</v>
      </c>
      <c r="AQ19" s="108"/>
      <c r="AR19" s="108"/>
      <c r="AS19" s="108">
        <f t="shared" si="7"/>
        <v>190.00054</v>
      </c>
      <c r="AT19" s="108"/>
      <c r="AU19" s="108"/>
      <c r="AV19" s="104">
        <f>RANK(AS19,$AS$4:$AS$51,0)</f>
        <v>5</v>
      </c>
      <c r="AW19" s="104"/>
      <c r="AX19" s="104"/>
      <c r="AY19" s="247">
        <f>IF(S19=1,R19,IF(AH19=1,AG19,AV19))</f>
        <v>5</v>
      </c>
      <c r="AZ19" s="325"/>
      <c r="BA19" s="322"/>
    </row>
    <row r="20" spans="1:53" ht="14.25" customHeight="1">
      <c r="A20" s="91">
        <v>32</v>
      </c>
      <c r="B20" s="91">
        <v>16</v>
      </c>
      <c r="C20" s="91">
        <v>16</v>
      </c>
      <c r="F20" s="331"/>
      <c r="G20" s="28">
        <v>17</v>
      </c>
      <c r="H20" s="60" t="str">
        <f>IF('Jmený seznam'!D21,'Jmený seznam'!E21)</f>
        <v>Hynčíková Nina</v>
      </c>
      <c r="I20" s="51" t="s">
        <v>24</v>
      </c>
      <c r="J20" s="52">
        <v>82</v>
      </c>
      <c r="K20" s="52">
        <v>33</v>
      </c>
      <c r="L20" s="52">
        <v>20</v>
      </c>
      <c r="M20" s="52">
        <v>23</v>
      </c>
      <c r="N20" s="52">
        <f t="shared" si="5"/>
        <v>158</v>
      </c>
      <c r="O20" s="79"/>
      <c r="P20" s="53">
        <f>N20</f>
        <v>158</v>
      </c>
      <c r="Q20" s="79"/>
      <c r="R20" s="54"/>
      <c r="S20" s="54"/>
      <c r="T20" s="54">
        <f>RANK(P20,$P$4:$P$51,0)</f>
        <v>7</v>
      </c>
      <c r="U20" s="54">
        <f>COUNTIF($T$4:$T$51,T20)</f>
        <v>1</v>
      </c>
      <c r="V20" s="54"/>
      <c r="W20" s="54"/>
      <c r="X20" s="84"/>
      <c r="Y20" s="84">
        <f>SUM(K20,L20,M20)</f>
        <v>76</v>
      </c>
      <c r="Z20" s="84"/>
      <c r="AA20" s="90"/>
      <c r="AB20" s="90">
        <f>RANK(Y20,$Y$4:$Y$51,1)</f>
        <v>2</v>
      </c>
      <c r="AC20" s="90"/>
      <c r="AD20" s="90"/>
      <c r="AE20" s="90">
        <f>N20+(AB20/100000)</f>
        <v>158.00002</v>
      </c>
      <c r="AF20" s="90"/>
      <c r="AG20" s="95"/>
      <c r="AH20" s="95"/>
      <c r="AI20" s="95">
        <f>RANK(AE20,$AE$4:$AE$51,0)</f>
        <v>7</v>
      </c>
      <c r="AJ20" s="95">
        <f>COUNTIF($AI$4:$AI$51,AI20)</f>
        <v>1</v>
      </c>
      <c r="AK20" s="95"/>
      <c r="AL20" s="95"/>
      <c r="AM20" s="104"/>
      <c r="AN20" s="104">
        <f>K20</f>
        <v>33</v>
      </c>
      <c r="AO20" s="104"/>
      <c r="AP20" s="108"/>
      <c r="AQ20" s="108">
        <f>RANK(AN20,$AN$4:$AN$51,1)</f>
        <v>6</v>
      </c>
      <c r="AR20" s="108"/>
      <c r="AS20" s="108"/>
      <c r="AT20" s="108">
        <f>(N20+(AB20/100000))-N20+(N20+(AQ20/100000))</f>
        <v>158.00008</v>
      </c>
      <c r="AU20" s="108"/>
      <c r="AV20" s="104"/>
      <c r="AW20" s="104">
        <f>RANK(AT20,$AT$4:$AT$51,0)</f>
        <v>7</v>
      </c>
      <c r="AX20" s="104"/>
      <c r="AY20" s="131">
        <f>IF(U20=1,T20,IF(AJ20=1,AI20,AW20))</f>
        <v>7</v>
      </c>
      <c r="AZ20" s="325"/>
      <c r="BA20" s="322"/>
    </row>
    <row r="21" spans="1:53" ht="14.25" customHeight="1" thickBot="1">
      <c r="A21" s="91">
        <v>34</v>
      </c>
      <c r="B21" s="91">
        <v>17</v>
      </c>
      <c r="C21" s="91">
        <v>17</v>
      </c>
      <c r="F21" s="332"/>
      <c r="G21" s="26">
        <v>18</v>
      </c>
      <c r="H21" s="73" t="str">
        <f>IF('Jmený seznam'!D22,'Jmený seznam'!E22)</f>
        <v>Holub Ondřej</v>
      </c>
      <c r="I21" s="74" t="s">
        <v>26</v>
      </c>
      <c r="J21" s="75">
        <v>86</v>
      </c>
      <c r="K21" s="75">
        <v>34</v>
      </c>
      <c r="L21" s="75">
        <v>18</v>
      </c>
      <c r="M21" s="75">
        <v>30</v>
      </c>
      <c r="N21" s="75">
        <f t="shared" si="5"/>
        <v>168</v>
      </c>
      <c r="O21" s="82"/>
      <c r="P21" s="82"/>
      <c r="Q21" s="76">
        <f>N21</f>
        <v>168</v>
      </c>
      <c r="R21" s="77"/>
      <c r="S21" s="77"/>
      <c r="T21" s="77"/>
      <c r="U21" s="77"/>
      <c r="V21" s="77">
        <f>RANK(Q21,$Q$4:$Q$51,0)</f>
        <v>7</v>
      </c>
      <c r="W21" s="77">
        <f>COUNTIF($V$4:$V$51,V21)</f>
        <v>1</v>
      </c>
      <c r="X21" s="86"/>
      <c r="Y21" s="86"/>
      <c r="Z21" s="86">
        <f>SUM(K21,L21,M21)</f>
        <v>82</v>
      </c>
      <c r="AA21" s="98"/>
      <c r="AB21" s="98"/>
      <c r="AC21" s="98">
        <f>RANK(Z21,$Z$4:$Z$51,1)</f>
        <v>2</v>
      </c>
      <c r="AD21" s="98"/>
      <c r="AE21" s="98"/>
      <c r="AF21" s="98">
        <f>N21+(AC21/100000)</f>
        <v>168.00002</v>
      </c>
      <c r="AG21" s="99"/>
      <c r="AH21" s="99"/>
      <c r="AI21" s="99"/>
      <c r="AJ21" s="99"/>
      <c r="AK21" s="99">
        <f>RANK(AF21,$AF$4:$AF$51,0)</f>
        <v>7</v>
      </c>
      <c r="AL21" s="99">
        <f>COUNTIF($AK$4:$AK$51,AK21)</f>
        <v>1</v>
      </c>
      <c r="AM21" s="105"/>
      <c r="AN21" s="105"/>
      <c r="AO21" s="105">
        <f>K21</f>
        <v>34</v>
      </c>
      <c r="AP21" s="109"/>
      <c r="AQ21" s="109"/>
      <c r="AR21" s="109">
        <f>RANK(AO21,$AO$4:$AO$51,1)</f>
        <v>2</v>
      </c>
      <c r="AS21" s="109"/>
      <c r="AT21" s="109"/>
      <c r="AU21" s="109">
        <f>(N21+(AC21/100000))-N21+(N21+(AR21/100000))</f>
        <v>168.00004</v>
      </c>
      <c r="AV21" s="105"/>
      <c r="AW21" s="105"/>
      <c r="AX21" s="105">
        <f>RANK(AU21,$AU$4:$AU$51,0)</f>
        <v>7</v>
      </c>
      <c r="AY21" s="172">
        <f>IF(W21=1,V21,IF(AL21=1,AK21,AX21))</f>
        <v>7</v>
      </c>
      <c r="AZ21" s="326"/>
      <c r="BA21" s="323"/>
    </row>
    <row r="22" spans="1:53" ht="14.25" customHeight="1">
      <c r="A22" s="91">
        <v>36</v>
      </c>
      <c r="B22" s="91">
        <v>18</v>
      </c>
      <c r="C22" s="91">
        <v>18</v>
      </c>
      <c r="F22" s="333" t="str">
        <f>IF('Jmený seznam'!D23,'Jmený seznam'!C23)</f>
        <v>MRS Brno</v>
      </c>
      <c r="G22" s="25">
        <v>19</v>
      </c>
      <c r="H22" s="55" t="str">
        <f>IF('Jmený seznam'!D23,'Jmený seznam'!E23)</f>
        <v>Honzírek Ondřej</v>
      </c>
      <c r="I22" s="56" t="s">
        <v>20</v>
      </c>
      <c r="J22" s="57">
        <v>90</v>
      </c>
      <c r="K22" s="57">
        <v>38</v>
      </c>
      <c r="L22" s="57">
        <v>28</v>
      </c>
      <c r="M22" s="57">
        <v>26</v>
      </c>
      <c r="N22" s="57">
        <f t="shared" si="5"/>
        <v>182</v>
      </c>
      <c r="O22" s="58">
        <f t="shared" si="0"/>
        <v>182</v>
      </c>
      <c r="P22" s="81"/>
      <c r="Q22" s="81"/>
      <c r="R22" s="59">
        <f t="shared" si="1"/>
        <v>10</v>
      </c>
      <c r="S22" s="113">
        <f>COUNTIF($R$4:$R$51,R22)</f>
        <v>3</v>
      </c>
      <c r="T22" s="59"/>
      <c r="U22" s="59"/>
      <c r="V22" s="59"/>
      <c r="W22" s="59"/>
      <c r="X22" s="83">
        <f t="shared" si="2"/>
        <v>92</v>
      </c>
      <c r="Y22" s="83"/>
      <c r="Z22" s="83"/>
      <c r="AA22" s="89">
        <f>RANK(X22,$X$4:$X$51,1)</f>
        <v>25</v>
      </c>
      <c r="AB22" s="89"/>
      <c r="AC22" s="89"/>
      <c r="AD22" s="89">
        <f t="shared" si="6"/>
        <v>182.00025</v>
      </c>
      <c r="AE22" s="89"/>
      <c r="AF22" s="89"/>
      <c r="AG22" s="93">
        <f t="shared" si="3"/>
        <v>11</v>
      </c>
      <c r="AH22" s="93">
        <f>COUNTIF($AG$4:$AG$51,AG22)</f>
        <v>3</v>
      </c>
      <c r="AI22" s="93"/>
      <c r="AJ22" s="93"/>
      <c r="AK22" s="93"/>
      <c r="AL22" s="93"/>
      <c r="AM22" s="103">
        <f t="shared" si="4"/>
        <v>38</v>
      </c>
      <c r="AN22" s="103"/>
      <c r="AO22" s="103"/>
      <c r="AP22" s="107">
        <f>RANK(AM22,$AM$4:$AM$51,1)</f>
        <v>23</v>
      </c>
      <c r="AQ22" s="107"/>
      <c r="AR22" s="107"/>
      <c r="AS22" s="111">
        <f>(N22+(AA22/100000))-N22+(N22+(AP22/100000))</f>
        <v>182.00047999999998</v>
      </c>
      <c r="AT22" s="107"/>
      <c r="AU22" s="107"/>
      <c r="AV22" s="112">
        <f>RANK(AS22,$AS$4:$AS$51,0)</f>
        <v>11</v>
      </c>
      <c r="AW22" s="103"/>
      <c r="AX22" s="103"/>
      <c r="AY22" s="246">
        <f>IF(S22=1,R22,IF(AH22=1,AG22,AV22))</f>
        <v>11</v>
      </c>
      <c r="AZ22" s="324">
        <f>SUM(AY22:AY27)</f>
        <v>45</v>
      </c>
      <c r="BA22" s="321">
        <f>RANK(AZ22,$AZ$4:$AZ$51,1)</f>
        <v>3</v>
      </c>
    </row>
    <row r="23" spans="1:53" ht="14.25" customHeight="1">
      <c r="A23" s="91">
        <v>38</v>
      </c>
      <c r="B23" s="91">
        <v>19</v>
      </c>
      <c r="C23" s="91">
        <v>19</v>
      </c>
      <c r="F23" s="331"/>
      <c r="G23" s="50">
        <v>20</v>
      </c>
      <c r="H23" s="60" t="str">
        <f>IF('Jmený seznam'!D24,'Jmený seznam'!E24)</f>
        <v>Bombera Jan</v>
      </c>
      <c r="I23" s="51" t="s">
        <v>20</v>
      </c>
      <c r="J23" s="52">
        <v>100</v>
      </c>
      <c r="K23" s="52">
        <v>40</v>
      </c>
      <c r="L23" s="52">
        <v>24</v>
      </c>
      <c r="M23" s="52">
        <v>30</v>
      </c>
      <c r="N23" s="52">
        <f t="shared" si="5"/>
        <v>194</v>
      </c>
      <c r="O23" s="53">
        <f t="shared" si="0"/>
        <v>194</v>
      </c>
      <c r="P23" s="79"/>
      <c r="Q23" s="79"/>
      <c r="R23" s="54">
        <f t="shared" si="1"/>
        <v>3</v>
      </c>
      <c r="S23" s="54">
        <f>COUNTIF($R$4:$R$51,R23)</f>
        <v>2</v>
      </c>
      <c r="T23" s="54"/>
      <c r="U23" s="54"/>
      <c r="V23" s="54"/>
      <c r="W23" s="54"/>
      <c r="X23" s="84">
        <f t="shared" si="2"/>
        <v>94</v>
      </c>
      <c r="Y23" s="84"/>
      <c r="Z23" s="84"/>
      <c r="AA23" s="90">
        <f>RANK(X23,$X$4:$X$51,1)</f>
        <v>29</v>
      </c>
      <c r="AB23" s="90"/>
      <c r="AC23" s="90"/>
      <c r="AD23" s="90">
        <f t="shared" si="6"/>
        <v>194.00029</v>
      </c>
      <c r="AE23" s="90"/>
      <c r="AF23" s="90"/>
      <c r="AG23" s="95">
        <f t="shared" si="3"/>
        <v>4</v>
      </c>
      <c r="AH23" s="95">
        <f>COUNTIF($AG$4:$AG$51,AG23)</f>
        <v>1</v>
      </c>
      <c r="AI23" s="95"/>
      <c r="AJ23" s="95"/>
      <c r="AK23" s="95"/>
      <c r="AL23" s="95"/>
      <c r="AM23" s="104">
        <f t="shared" si="4"/>
        <v>40</v>
      </c>
      <c r="AN23" s="104"/>
      <c r="AO23" s="104"/>
      <c r="AP23" s="108">
        <f>RANK(AM23,$AM$4:$AM$51,1)</f>
        <v>29</v>
      </c>
      <c r="AQ23" s="108"/>
      <c r="AR23" s="108"/>
      <c r="AS23" s="108">
        <f t="shared" si="7"/>
        <v>194.00058</v>
      </c>
      <c r="AT23" s="108"/>
      <c r="AU23" s="108"/>
      <c r="AV23" s="104">
        <f>RANK(AS23,$AS$4:$AS$51,0)</f>
        <v>4</v>
      </c>
      <c r="AW23" s="104"/>
      <c r="AX23" s="104"/>
      <c r="AY23" s="131">
        <f>IF(S23=1,R23,IF(AH23=1,AG23,AV23))</f>
        <v>4</v>
      </c>
      <c r="AZ23" s="325"/>
      <c r="BA23" s="322"/>
    </row>
    <row r="24" spans="1:53" ht="14.25" customHeight="1">
      <c r="A24" s="91">
        <v>40</v>
      </c>
      <c r="B24" s="91">
        <v>20</v>
      </c>
      <c r="C24" s="91">
        <v>20</v>
      </c>
      <c r="F24" s="331"/>
      <c r="G24" s="50">
        <v>21</v>
      </c>
      <c r="H24" s="60" t="str">
        <f>IF('Jmený seznam'!D25,'Jmený seznam'!E25)</f>
        <v>Traj Robert</v>
      </c>
      <c r="I24" s="51" t="s">
        <v>20</v>
      </c>
      <c r="J24" s="52">
        <v>96</v>
      </c>
      <c r="K24" s="52">
        <v>33</v>
      </c>
      <c r="L24" s="52">
        <v>26</v>
      </c>
      <c r="M24" s="52">
        <v>28</v>
      </c>
      <c r="N24" s="52">
        <f t="shared" si="5"/>
        <v>183</v>
      </c>
      <c r="O24" s="53">
        <f t="shared" si="0"/>
        <v>183</v>
      </c>
      <c r="P24" s="79"/>
      <c r="Q24" s="79"/>
      <c r="R24" s="54">
        <f t="shared" si="1"/>
        <v>9</v>
      </c>
      <c r="S24" s="54">
        <f>COUNTIF($R$4:$R$51,R24)</f>
        <v>1</v>
      </c>
      <c r="T24" s="54"/>
      <c r="U24" s="54"/>
      <c r="V24" s="54"/>
      <c r="W24" s="54"/>
      <c r="X24" s="84">
        <f t="shared" si="2"/>
        <v>87</v>
      </c>
      <c r="Y24" s="84"/>
      <c r="Z24" s="84"/>
      <c r="AA24" s="90">
        <f>RANK(X24,$X$4:$X$51,1)</f>
        <v>22</v>
      </c>
      <c r="AB24" s="90"/>
      <c r="AC24" s="90"/>
      <c r="AD24" s="90">
        <f t="shared" si="6"/>
        <v>183.00022</v>
      </c>
      <c r="AE24" s="90"/>
      <c r="AF24" s="90"/>
      <c r="AG24" s="95">
        <f t="shared" si="3"/>
        <v>10</v>
      </c>
      <c r="AH24" s="95">
        <f>COUNTIF($AG$4:$AG$51,AG24)</f>
        <v>1</v>
      </c>
      <c r="AI24" s="95"/>
      <c r="AJ24" s="95"/>
      <c r="AK24" s="95"/>
      <c r="AL24" s="95"/>
      <c r="AM24" s="104">
        <f t="shared" si="4"/>
        <v>33</v>
      </c>
      <c r="AN24" s="104"/>
      <c r="AO24" s="104"/>
      <c r="AP24" s="108">
        <f>RANK(AM24,$AM$4:$AM$51,1)</f>
        <v>16</v>
      </c>
      <c r="AQ24" s="108"/>
      <c r="AR24" s="108"/>
      <c r="AS24" s="108">
        <f t="shared" si="7"/>
        <v>183.00038</v>
      </c>
      <c r="AT24" s="108"/>
      <c r="AU24" s="108"/>
      <c r="AV24" s="104">
        <f>RANK(AS24,$AS$4:$AS$51,0)</f>
        <v>9</v>
      </c>
      <c r="AW24" s="104"/>
      <c r="AX24" s="104"/>
      <c r="AY24" s="131">
        <f>IF(S24=1,R24,IF(AH24=1,AG24,AV24))</f>
        <v>9</v>
      </c>
      <c r="AZ24" s="325"/>
      <c r="BA24" s="322"/>
    </row>
    <row r="25" spans="1:53" ht="14.25" customHeight="1">
      <c r="A25" s="91">
        <v>42</v>
      </c>
      <c r="B25" s="91">
        <v>21</v>
      </c>
      <c r="C25" s="91">
        <v>21</v>
      </c>
      <c r="F25" s="331"/>
      <c r="G25" s="50">
        <v>22</v>
      </c>
      <c r="H25" s="60" t="str">
        <f>IF('Jmený seznam'!D26,'Jmený seznam'!E26)</f>
        <v>Juříček Jakub</v>
      </c>
      <c r="I25" s="51" t="s">
        <v>20</v>
      </c>
      <c r="J25" s="52">
        <v>94</v>
      </c>
      <c r="K25" s="52">
        <v>38</v>
      </c>
      <c r="L25" s="52">
        <v>16</v>
      </c>
      <c r="M25" s="52">
        <v>25</v>
      </c>
      <c r="N25" s="52">
        <f t="shared" si="5"/>
        <v>173</v>
      </c>
      <c r="O25" s="53">
        <f t="shared" si="0"/>
        <v>173</v>
      </c>
      <c r="P25" s="79"/>
      <c r="Q25" s="79"/>
      <c r="R25" s="54">
        <f t="shared" si="1"/>
        <v>15</v>
      </c>
      <c r="S25" s="54">
        <f>COUNTIF($R$4:$R$51,R25)</f>
        <v>1</v>
      </c>
      <c r="T25" s="54"/>
      <c r="U25" s="54"/>
      <c r="V25" s="54"/>
      <c r="W25" s="54"/>
      <c r="X25" s="84">
        <f t="shared" si="2"/>
        <v>79</v>
      </c>
      <c r="Y25" s="84"/>
      <c r="Z25" s="84"/>
      <c r="AA25" s="90">
        <f>RANK(X25,$X$4:$X$51,1)</f>
        <v>16</v>
      </c>
      <c r="AB25" s="90"/>
      <c r="AC25" s="90"/>
      <c r="AD25" s="90">
        <f t="shared" si="6"/>
        <v>173.00016</v>
      </c>
      <c r="AE25" s="90"/>
      <c r="AF25" s="90"/>
      <c r="AG25" s="95">
        <f t="shared" si="3"/>
        <v>16</v>
      </c>
      <c r="AH25" s="95">
        <f>COUNTIF($AG$4:$AG$51,AG25)</f>
        <v>1</v>
      </c>
      <c r="AI25" s="95"/>
      <c r="AJ25" s="95"/>
      <c r="AK25" s="95"/>
      <c r="AL25" s="95"/>
      <c r="AM25" s="104">
        <f t="shared" si="4"/>
        <v>38</v>
      </c>
      <c r="AN25" s="104"/>
      <c r="AO25" s="104"/>
      <c r="AP25" s="108">
        <f>RANK(AM25,$AM$4:$AM$51,1)</f>
        <v>23</v>
      </c>
      <c r="AQ25" s="108"/>
      <c r="AR25" s="108"/>
      <c r="AS25" s="108">
        <f t="shared" si="7"/>
        <v>173.00038999999998</v>
      </c>
      <c r="AT25" s="108"/>
      <c r="AU25" s="108"/>
      <c r="AV25" s="104">
        <f>RANK(AS25,$AS$4:$AS$51,0)</f>
        <v>15</v>
      </c>
      <c r="AW25" s="104"/>
      <c r="AX25" s="104"/>
      <c r="AY25" s="247">
        <f>IF(S25=1,R25,IF(AH25=1,AG25,AV25))</f>
        <v>15</v>
      </c>
      <c r="AZ25" s="325"/>
      <c r="BA25" s="322"/>
    </row>
    <row r="26" spans="1:53" ht="14.25" customHeight="1">
      <c r="A26" s="91">
        <v>44</v>
      </c>
      <c r="B26" s="91">
        <v>22</v>
      </c>
      <c r="C26" s="91">
        <v>22</v>
      </c>
      <c r="F26" s="331"/>
      <c r="G26" s="50">
        <v>23</v>
      </c>
      <c r="H26" s="60" t="str">
        <f>IF('Jmený seznam'!D27,'Jmený seznam'!E27)</f>
        <v>Koblihová Kristýna</v>
      </c>
      <c r="I26" s="51" t="s">
        <v>24</v>
      </c>
      <c r="J26" s="52">
        <v>100</v>
      </c>
      <c r="K26" s="52">
        <v>31</v>
      </c>
      <c r="L26" s="52">
        <v>28</v>
      </c>
      <c r="M26" s="52">
        <v>30</v>
      </c>
      <c r="N26" s="52">
        <f t="shared" si="5"/>
        <v>189</v>
      </c>
      <c r="O26" s="79"/>
      <c r="P26" s="53">
        <f>N26</f>
        <v>189</v>
      </c>
      <c r="Q26" s="79"/>
      <c r="R26" s="54"/>
      <c r="S26" s="54"/>
      <c r="T26" s="54">
        <f>RANK(P26,$P$4:$P$51,0)</f>
        <v>2</v>
      </c>
      <c r="U26" s="54">
        <f>COUNTIF($T$4:$T$51,T26)</f>
        <v>1</v>
      </c>
      <c r="V26" s="54"/>
      <c r="W26" s="54"/>
      <c r="X26" s="84"/>
      <c r="Y26" s="84">
        <f>SUM(K26,L26,M26)</f>
        <v>89</v>
      </c>
      <c r="Z26" s="84"/>
      <c r="AA26" s="90"/>
      <c r="AB26" s="90">
        <f>RANK(Y26,$Y$4:$Y$51,1)</f>
        <v>6</v>
      </c>
      <c r="AC26" s="90"/>
      <c r="AD26" s="90"/>
      <c r="AE26" s="90">
        <f>N26+(AB26/100000)</f>
        <v>189.00006</v>
      </c>
      <c r="AF26" s="90"/>
      <c r="AG26" s="95"/>
      <c r="AH26" s="95"/>
      <c r="AI26" s="95">
        <f>RANK(AE26,$AE$4:$AE$51,0)</f>
        <v>2</v>
      </c>
      <c r="AJ26" s="95">
        <f>COUNTIF($AI$4:$AI$51,AI26)</f>
        <v>1</v>
      </c>
      <c r="AK26" s="95"/>
      <c r="AL26" s="95"/>
      <c r="AM26" s="104">
        <f t="shared" si="4"/>
        <v>31</v>
      </c>
      <c r="AN26" s="104">
        <f>K26</f>
        <v>31</v>
      </c>
      <c r="AO26" s="104"/>
      <c r="AP26" s="108">
        <f>RANK(AM26,$AM$4:$AM$51,1)</f>
        <v>14</v>
      </c>
      <c r="AQ26" s="108">
        <f>RANK(AN26,$AN$4:$AN$51,1)</f>
        <v>3</v>
      </c>
      <c r="AR26" s="108"/>
      <c r="AS26" s="108"/>
      <c r="AT26" s="108">
        <f>(N26+(AB26/100000))-N26+(N26+(AQ26/100000))</f>
        <v>189.00009</v>
      </c>
      <c r="AU26" s="108"/>
      <c r="AV26" s="104"/>
      <c r="AW26" s="104">
        <f>RANK(AT26,$AT$4:$AT$51,0)</f>
        <v>2</v>
      </c>
      <c r="AX26" s="104"/>
      <c r="AY26" s="131">
        <f>IF(U26=1,T26,IF(AJ26=1,AI26,AW26))</f>
        <v>2</v>
      </c>
      <c r="AZ26" s="325"/>
      <c r="BA26" s="322"/>
    </row>
    <row r="27" spans="1:53" ht="14.25" customHeight="1" thickBot="1">
      <c r="A27" s="91">
        <v>46</v>
      </c>
      <c r="B27" s="91">
        <v>23</v>
      </c>
      <c r="C27" s="91">
        <v>23</v>
      </c>
      <c r="F27" s="332"/>
      <c r="G27" s="26">
        <v>24</v>
      </c>
      <c r="H27" s="73" t="str">
        <f>IF('Jmený seznam'!D28,'Jmený seznam'!E28)</f>
        <v>Zavadil Radek</v>
      </c>
      <c r="I27" s="74" t="s">
        <v>26</v>
      </c>
      <c r="J27" s="75">
        <v>98</v>
      </c>
      <c r="K27" s="75">
        <v>36</v>
      </c>
      <c r="L27" s="75">
        <v>24</v>
      </c>
      <c r="M27" s="75">
        <v>30</v>
      </c>
      <c r="N27" s="75">
        <f t="shared" si="5"/>
        <v>188</v>
      </c>
      <c r="O27" s="82"/>
      <c r="P27" s="82"/>
      <c r="Q27" s="76">
        <f>N27</f>
        <v>188</v>
      </c>
      <c r="R27" s="77"/>
      <c r="S27" s="77"/>
      <c r="T27" s="77"/>
      <c r="U27" s="77"/>
      <c r="V27" s="77">
        <f>RANK(Q27,$Q$4:$Q$51,0)</f>
        <v>4</v>
      </c>
      <c r="W27" s="77">
        <f>COUNTIF($V$4:$V$51,V27)</f>
        <v>1</v>
      </c>
      <c r="X27" s="86"/>
      <c r="Y27" s="86"/>
      <c r="Z27" s="86">
        <f>SUM(K27,L27,M27)</f>
        <v>90</v>
      </c>
      <c r="AA27" s="98"/>
      <c r="AB27" s="98"/>
      <c r="AC27" s="98">
        <f>RANK(Z27,$Z$4:$Z$51,1)</f>
        <v>5</v>
      </c>
      <c r="AD27" s="98"/>
      <c r="AE27" s="98"/>
      <c r="AF27" s="98">
        <f>N27+(AC27/100000)</f>
        <v>188.00005</v>
      </c>
      <c r="AG27" s="99"/>
      <c r="AH27" s="99"/>
      <c r="AI27" s="99"/>
      <c r="AJ27" s="99"/>
      <c r="AK27" s="99">
        <f>RANK(AF27,$AF$4:$AF$51,0)</f>
        <v>4</v>
      </c>
      <c r="AL27" s="99">
        <f>COUNTIF($AK$4:$AK$51,AK27)</f>
        <v>1</v>
      </c>
      <c r="AM27" s="105"/>
      <c r="AN27" s="105"/>
      <c r="AO27" s="105">
        <f>K27</f>
        <v>36</v>
      </c>
      <c r="AP27" s="109"/>
      <c r="AQ27" s="109"/>
      <c r="AR27" s="109">
        <f>RANK(AO27,$AO$4:$AO$51,1)</f>
        <v>5</v>
      </c>
      <c r="AS27" s="109"/>
      <c r="AT27" s="109"/>
      <c r="AU27" s="109">
        <f>(N27+(AC27/100000))-N27+(N27+(AR27/100000))</f>
        <v>188.00009999999997</v>
      </c>
      <c r="AV27" s="105"/>
      <c r="AW27" s="105"/>
      <c r="AX27" s="105">
        <f>RANK(AU27,$AU$4:$AU$51,0)</f>
        <v>4</v>
      </c>
      <c r="AY27" s="172">
        <f>IF(W27=1,V27,IF(AL27=1,AK27,AX27))</f>
        <v>4</v>
      </c>
      <c r="AZ27" s="326"/>
      <c r="BA27" s="323"/>
    </row>
    <row r="28" spans="1:53" ht="14.25" customHeight="1">
      <c r="A28" s="91">
        <v>48</v>
      </c>
      <c r="B28" s="91">
        <v>24</v>
      </c>
      <c r="C28" s="91">
        <v>24</v>
      </c>
      <c r="F28" s="333" t="str">
        <f>IF('Jmený seznam'!D29,'Jmený seznam'!C29)</f>
        <v>Východočeský</v>
      </c>
      <c r="G28" s="67">
        <v>25</v>
      </c>
      <c r="H28" s="55" t="str">
        <f>IF('Jmený seznam'!D29,'Jmený seznam'!E29)</f>
        <v>Hašek Marek</v>
      </c>
      <c r="I28" s="56" t="s">
        <v>20</v>
      </c>
      <c r="J28" s="57">
        <v>78</v>
      </c>
      <c r="K28" s="57">
        <v>38</v>
      </c>
      <c r="L28" s="57">
        <v>12</v>
      </c>
      <c r="M28" s="57">
        <v>13</v>
      </c>
      <c r="N28" s="57">
        <f aca="true" t="shared" si="8" ref="N28:N51">SUM(J28,K28,L28,M28)</f>
        <v>141</v>
      </c>
      <c r="O28" s="58">
        <f>N28</f>
        <v>141</v>
      </c>
      <c r="P28" s="81"/>
      <c r="Q28" s="81"/>
      <c r="R28" s="59">
        <f t="shared" si="1"/>
        <v>25</v>
      </c>
      <c r="S28" s="113">
        <f>COUNTIF($R$4:$R$51,R28)</f>
        <v>2</v>
      </c>
      <c r="T28" s="59"/>
      <c r="U28" s="59"/>
      <c r="V28" s="59"/>
      <c r="W28" s="59"/>
      <c r="X28" s="83">
        <f t="shared" si="2"/>
        <v>63</v>
      </c>
      <c r="Y28" s="83"/>
      <c r="Z28" s="83"/>
      <c r="AA28" s="89">
        <f>RANK(X28,$X$4:$X$51,1)</f>
        <v>8</v>
      </c>
      <c r="AB28" s="89"/>
      <c r="AC28" s="89"/>
      <c r="AD28" s="89">
        <f t="shared" si="6"/>
        <v>141.00008</v>
      </c>
      <c r="AE28" s="89"/>
      <c r="AF28" s="89"/>
      <c r="AG28" s="93">
        <f t="shared" si="3"/>
        <v>26</v>
      </c>
      <c r="AH28" s="93">
        <f>COUNTIF($AG$4:$AG$51,AG28)</f>
        <v>1</v>
      </c>
      <c r="AI28" s="93"/>
      <c r="AJ28" s="93"/>
      <c r="AK28" s="93"/>
      <c r="AL28" s="93"/>
      <c r="AM28" s="103">
        <f t="shared" si="4"/>
        <v>38</v>
      </c>
      <c r="AN28" s="103"/>
      <c r="AO28" s="103"/>
      <c r="AP28" s="107">
        <f>RANK(AM28,$AM$4:$AM$51,1)</f>
        <v>23</v>
      </c>
      <c r="AQ28" s="107"/>
      <c r="AR28" s="107"/>
      <c r="AS28" s="111">
        <f>(N28+(AA28/100000))-N28+(N28+(AP28/100000))</f>
        <v>141.00030999999998</v>
      </c>
      <c r="AT28" s="107"/>
      <c r="AU28" s="107"/>
      <c r="AV28" s="112">
        <f>RANK(AS28,$AS$4:$AS$51,0)</f>
        <v>25</v>
      </c>
      <c r="AW28" s="103"/>
      <c r="AX28" s="103"/>
      <c r="AY28" s="246">
        <v>25</v>
      </c>
      <c r="AZ28" s="324">
        <f>SUM(AY28:AY33)</f>
        <v>105</v>
      </c>
      <c r="BA28" s="321">
        <f>RANK(AZ28,$AZ$4:$AZ$51,1)</f>
        <v>7</v>
      </c>
    </row>
    <row r="29" spans="1:53" ht="14.25" customHeight="1">
      <c r="A29" s="91">
        <v>50</v>
      </c>
      <c r="B29" s="91">
        <v>25</v>
      </c>
      <c r="C29" s="91">
        <v>25</v>
      </c>
      <c r="F29" s="331"/>
      <c r="G29" s="28">
        <v>26</v>
      </c>
      <c r="H29" s="60" t="str">
        <f>IF('Jmený seznam'!D30,'Jmený seznam'!E30)</f>
        <v>Joneš Jan</v>
      </c>
      <c r="I29" s="51" t="s">
        <v>20</v>
      </c>
      <c r="J29" s="52">
        <v>82</v>
      </c>
      <c r="K29" s="52">
        <v>28</v>
      </c>
      <c r="L29" s="52">
        <v>10</v>
      </c>
      <c r="M29" s="52">
        <v>17</v>
      </c>
      <c r="N29" s="52">
        <f t="shared" si="8"/>
        <v>137</v>
      </c>
      <c r="O29" s="53">
        <f>N29</f>
        <v>137</v>
      </c>
      <c r="P29" s="79"/>
      <c r="Q29" s="79"/>
      <c r="R29" s="54">
        <f t="shared" si="1"/>
        <v>27</v>
      </c>
      <c r="S29" s="54">
        <f>COUNTIF($R$4:$R$51,R29)</f>
        <v>1</v>
      </c>
      <c r="T29" s="54"/>
      <c r="U29" s="54"/>
      <c r="V29" s="54"/>
      <c r="W29" s="54"/>
      <c r="X29" s="84">
        <f t="shared" si="2"/>
        <v>55</v>
      </c>
      <c r="Y29" s="84"/>
      <c r="Z29" s="84"/>
      <c r="AA29" s="90">
        <f>RANK(X29,$X$4:$X$51,1)</f>
        <v>3</v>
      </c>
      <c r="AB29" s="90"/>
      <c r="AC29" s="90"/>
      <c r="AD29" s="90">
        <f t="shared" si="6"/>
        <v>137.00003</v>
      </c>
      <c r="AE29" s="90"/>
      <c r="AF29" s="90"/>
      <c r="AG29" s="95">
        <f t="shared" si="3"/>
        <v>28</v>
      </c>
      <c r="AH29" s="95">
        <f>COUNTIF($AG$4:$AG$51,AG29)</f>
        <v>1</v>
      </c>
      <c r="AI29" s="95"/>
      <c r="AJ29" s="95"/>
      <c r="AK29" s="95"/>
      <c r="AL29" s="95"/>
      <c r="AM29" s="104">
        <f t="shared" si="4"/>
        <v>28</v>
      </c>
      <c r="AN29" s="104"/>
      <c r="AO29" s="104"/>
      <c r="AP29" s="108">
        <f>RANK(AM29,$AM$4:$AM$51,1)</f>
        <v>5</v>
      </c>
      <c r="AQ29" s="108"/>
      <c r="AR29" s="108"/>
      <c r="AS29" s="108">
        <f t="shared" si="7"/>
        <v>137.00008</v>
      </c>
      <c r="AT29" s="108"/>
      <c r="AU29" s="108"/>
      <c r="AV29" s="104">
        <f>RANK(AS29,$AS$4:$AS$51,0)</f>
        <v>27</v>
      </c>
      <c r="AW29" s="104"/>
      <c r="AX29" s="104"/>
      <c r="AY29" s="131">
        <f>IF(S29=1,R29,IF(AH29=1,AG29,AV29))</f>
        <v>27</v>
      </c>
      <c r="AZ29" s="325"/>
      <c r="BA29" s="322"/>
    </row>
    <row r="30" spans="1:53" ht="14.25" customHeight="1">
      <c r="A30" s="91">
        <v>52</v>
      </c>
      <c r="B30" s="91">
        <v>26</v>
      </c>
      <c r="C30" s="91">
        <v>26</v>
      </c>
      <c r="F30" s="331"/>
      <c r="G30" s="28">
        <v>27</v>
      </c>
      <c r="H30" s="60" t="str">
        <f>IF('Jmený seznam'!D31,'Jmený seznam'!E31)</f>
        <v>Mencl Michal</v>
      </c>
      <c r="I30" s="51" t="s">
        <v>20</v>
      </c>
      <c r="J30" s="52">
        <v>84</v>
      </c>
      <c r="K30" s="52">
        <v>40</v>
      </c>
      <c r="L30" s="52">
        <v>16</v>
      </c>
      <c r="M30" s="52">
        <v>28</v>
      </c>
      <c r="N30" s="52">
        <f t="shared" si="8"/>
        <v>168</v>
      </c>
      <c r="O30" s="53">
        <f>N30</f>
        <v>168</v>
      </c>
      <c r="P30" s="79"/>
      <c r="Q30" s="79"/>
      <c r="R30" s="54">
        <f t="shared" si="1"/>
        <v>18</v>
      </c>
      <c r="S30" s="54">
        <f>COUNTIF($R$4:$R$51,R30)</f>
        <v>1</v>
      </c>
      <c r="T30" s="54"/>
      <c r="U30" s="54"/>
      <c r="V30" s="54"/>
      <c r="W30" s="54"/>
      <c r="X30" s="84">
        <f t="shared" si="2"/>
        <v>84</v>
      </c>
      <c r="Y30" s="84"/>
      <c r="Z30" s="84"/>
      <c r="AA30" s="90">
        <f>RANK(X30,$X$4:$X$51,1)</f>
        <v>19</v>
      </c>
      <c r="AB30" s="90"/>
      <c r="AC30" s="90"/>
      <c r="AD30" s="90">
        <f t="shared" si="6"/>
        <v>168.00019</v>
      </c>
      <c r="AE30" s="90"/>
      <c r="AF30" s="90"/>
      <c r="AG30" s="95">
        <f t="shared" si="3"/>
        <v>19</v>
      </c>
      <c r="AH30" s="95">
        <f>COUNTIF($AG$4:$AG$51,AG30)</f>
        <v>1</v>
      </c>
      <c r="AI30" s="95"/>
      <c r="AJ30" s="95"/>
      <c r="AK30" s="95"/>
      <c r="AL30" s="95"/>
      <c r="AM30" s="104">
        <f t="shared" si="4"/>
        <v>40</v>
      </c>
      <c r="AN30" s="104"/>
      <c r="AO30" s="104"/>
      <c r="AP30" s="108">
        <f>RANK(AM30,$AM$4:$AM$51,1)</f>
        <v>29</v>
      </c>
      <c r="AQ30" s="108"/>
      <c r="AR30" s="108"/>
      <c r="AS30" s="108">
        <f t="shared" si="7"/>
        <v>168.00048</v>
      </c>
      <c r="AT30" s="108"/>
      <c r="AU30" s="108"/>
      <c r="AV30" s="104">
        <f>RANK(AS30,$AS$4:$AS$51,0)</f>
        <v>18</v>
      </c>
      <c r="AW30" s="104"/>
      <c r="AX30" s="104"/>
      <c r="AY30" s="131">
        <f>IF(S30=1,R30,IF(AH30=1,AG30,AV30))</f>
        <v>18</v>
      </c>
      <c r="AZ30" s="325"/>
      <c r="BA30" s="322"/>
    </row>
    <row r="31" spans="1:53" ht="14.25" customHeight="1">
      <c r="A31" s="91">
        <v>54</v>
      </c>
      <c r="B31" s="91">
        <v>27</v>
      </c>
      <c r="C31" s="91">
        <v>27</v>
      </c>
      <c r="F31" s="331"/>
      <c r="G31" s="28">
        <v>28</v>
      </c>
      <c r="H31" s="60" t="str">
        <f>IF('Jmený seznam'!D32,'Jmený seznam'!E32)</f>
        <v>Bastl Tomáš</v>
      </c>
      <c r="I31" s="51" t="s">
        <v>20</v>
      </c>
      <c r="J31" s="52">
        <v>76</v>
      </c>
      <c r="K31" s="52">
        <v>29</v>
      </c>
      <c r="L31" s="52">
        <v>8</v>
      </c>
      <c r="M31" s="52">
        <v>17</v>
      </c>
      <c r="N31" s="52">
        <f t="shared" si="8"/>
        <v>130</v>
      </c>
      <c r="O31" s="53">
        <f>N31</f>
        <v>130</v>
      </c>
      <c r="P31" s="79"/>
      <c r="Q31" s="79"/>
      <c r="R31" s="54">
        <f t="shared" si="1"/>
        <v>30</v>
      </c>
      <c r="S31" s="54">
        <f>COUNTIF($R$4:$R$51,R31)</f>
        <v>2</v>
      </c>
      <c r="T31" s="54"/>
      <c r="U31" s="54"/>
      <c r="V31" s="54"/>
      <c r="W31" s="54"/>
      <c r="X31" s="84">
        <f t="shared" si="2"/>
        <v>54</v>
      </c>
      <c r="Y31" s="84"/>
      <c r="Z31" s="84"/>
      <c r="AA31" s="90">
        <f>RANK(X31,$X$4:$X$51,1)</f>
        <v>2</v>
      </c>
      <c r="AB31" s="90"/>
      <c r="AC31" s="90"/>
      <c r="AD31" s="90">
        <f t="shared" si="6"/>
        <v>130.00002</v>
      </c>
      <c r="AE31" s="90"/>
      <c r="AF31" s="90"/>
      <c r="AG31" s="95">
        <f t="shared" si="3"/>
        <v>31</v>
      </c>
      <c r="AH31" s="95">
        <f>COUNTIF($AG$4:$AG$51,AG31)</f>
        <v>1</v>
      </c>
      <c r="AI31" s="95"/>
      <c r="AJ31" s="95"/>
      <c r="AK31" s="95"/>
      <c r="AL31" s="95"/>
      <c r="AM31" s="104">
        <f t="shared" si="4"/>
        <v>29</v>
      </c>
      <c r="AN31" s="104"/>
      <c r="AO31" s="104"/>
      <c r="AP31" s="108">
        <f>RANK(AM31,$AM$4:$AM$51,1)</f>
        <v>9</v>
      </c>
      <c r="AQ31" s="108"/>
      <c r="AR31" s="108"/>
      <c r="AS31" s="108">
        <f t="shared" si="7"/>
        <v>130.00011</v>
      </c>
      <c r="AT31" s="108"/>
      <c r="AU31" s="108"/>
      <c r="AV31" s="104">
        <f>RANK(AS31,$AS$4:$AS$51,0)</f>
        <v>30</v>
      </c>
      <c r="AW31" s="104"/>
      <c r="AX31" s="104"/>
      <c r="AY31" s="247">
        <v>30</v>
      </c>
      <c r="AZ31" s="325"/>
      <c r="BA31" s="322"/>
    </row>
    <row r="32" spans="1:53" ht="14.25" customHeight="1">
      <c r="A32" s="91">
        <v>56</v>
      </c>
      <c r="B32" s="91">
        <v>28</v>
      </c>
      <c r="C32" s="91">
        <v>28</v>
      </c>
      <c r="F32" s="331"/>
      <c r="G32" s="28">
        <v>29</v>
      </c>
      <c r="H32" s="60" t="str">
        <f>IF('Jmený seznam'!D33,'Jmený seznam'!E33)</f>
        <v>Šimůnková Markéta</v>
      </c>
      <c r="I32" s="51" t="s">
        <v>24</v>
      </c>
      <c r="J32" s="52">
        <v>96</v>
      </c>
      <c r="K32" s="52">
        <v>32</v>
      </c>
      <c r="L32" s="52">
        <v>30</v>
      </c>
      <c r="M32" s="52">
        <v>26</v>
      </c>
      <c r="N32" s="52">
        <f t="shared" si="8"/>
        <v>184</v>
      </c>
      <c r="O32" s="79"/>
      <c r="P32" s="53">
        <f>N32</f>
        <v>184</v>
      </c>
      <c r="Q32" s="79"/>
      <c r="R32" s="54"/>
      <c r="S32" s="54"/>
      <c r="T32" s="54">
        <f>RANK(P32,$P$4:$P$51,0)</f>
        <v>4</v>
      </c>
      <c r="U32" s="54">
        <f>COUNTIF($T$4:$T$51,T32)</f>
        <v>1</v>
      </c>
      <c r="V32" s="54"/>
      <c r="W32" s="54"/>
      <c r="X32" s="84"/>
      <c r="Y32" s="84">
        <f>SUM(K32,L32,M32)</f>
        <v>88</v>
      </c>
      <c r="Z32" s="84"/>
      <c r="AA32" s="90"/>
      <c r="AB32" s="90">
        <f>RANK(Y32,$Y$4:$Y$51,1)</f>
        <v>5</v>
      </c>
      <c r="AC32" s="90"/>
      <c r="AD32" s="90"/>
      <c r="AE32" s="90">
        <f>N32+(AB32/100000)</f>
        <v>184.00005</v>
      </c>
      <c r="AF32" s="90"/>
      <c r="AG32" s="95"/>
      <c r="AH32" s="95"/>
      <c r="AI32" s="95">
        <f>RANK(AE32,$AE$4:$AE$51,0)</f>
        <v>4</v>
      </c>
      <c r="AJ32" s="95">
        <f>COUNTIF($AI$4:$AI$51,AI32)</f>
        <v>1</v>
      </c>
      <c r="AK32" s="95"/>
      <c r="AL32" s="95"/>
      <c r="AM32" s="104"/>
      <c r="AN32" s="104">
        <f>K32</f>
        <v>32</v>
      </c>
      <c r="AO32" s="104"/>
      <c r="AP32" s="108"/>
      <c r="AQ32" s="108">
        <f>RANK(AN32,$AN$4:$AN$51,1)</f>
        <v>4</v>
      </c>
      <c r="AR32" s="108"/>
      <c r="AS32" s="108"/>
      <c r="AT32" s="108">
        <f>(N32+(AB32/100000))-N32+(N32+(AQ32/100000))</f>
        <v>184.00009</v>
      </c>
      <c r="AU32" s="108"/>
      <c r="AV32" s="104"/>
      <c r="AW32" s="104">
        <f>RANK(AT32,$AT$4:$AT$51,0)</f>
        <v>4</v>
      </c>
      <c r="AX32" s="104"/>
      <c r="AY32" s="131">
        <f>IF(U32=1,T32,IF(AJ32=1,AI32,AW32))</f>
        <v>4</v>
      </c>
      <c r="AZ32" s="325"/>
      <c r="BA32" s="322"/>
    </row>
    <row r="33" spans="1:53" ht="14.25" customHeight="1" thickBot="1">
      <c r="A33" s="91">
        <v>58</v>
      </c>
      <c r="B33" s="91">
        <v>29</v>
      </c>
      <c r="C33" s="91">
        <v>29</v>
      </c>
      <c r="F33" s="332"/>
      <c r="G33" s="29">
        <v>30</v>
      </c>
      <c r="H33" s="73" t="str">
        <f>IF('Jmený seznam'!D34,'Jmený seznam'!E34)</f>
        <v>Vejs David</v>
      </c>
      <c r="I33" s="74" t="s">
        <v>26</v>
      </c>
      <c r="J33" s="75">
        <v>100</v>
      </c>
      <c r="K33" s="75">
        <v>38</v>
      </c>
      <c r="L33" s="75">
        <v>30</v>
      </c>
      <c r="M33" s="75">
        <v>30</v>
      </c>
      <c r="N33" s="75">
        <f t="shared" si="8"/>
        <v>198</v>
      </c>
      <c r="O33" s="82"/>
      <c r="P33" s="82"/>
      <c r="Q33" s="76">
        <f>N33</f>
        <v>198</v>
      </c>
      <c r="R33" s="77"/>
      <c r="S33" s="77"/>
      <c r="T33" s="77"/>
      <c r="U33" s="77"/>
      <c r="V33" s="77">
        <f>RANK(Q33,$Q$4:$Q$51,0)</f>
        <v>1</v>
      </c>
      <c r="W33" s="77">
        <f>COUNTIF($V$4:$V$51,V33)</f>
        <v>1</v>
      </c>
      <c r="X33" s="86"/>
      <c r="Y33" s="86"/>
      <c r="Z33" s="86">
        <f>SUM(K33,L33,M33)</f>
        <v>98</v>
      </c>
      <c r="AA33" s="98"/>
      <c r="AB33" s="98"/>
      <c r="AC33" s="98">
        <f>RANK(Z33,$Z$4:$Z$51,1)</f>
        <v>8</v>
      </c>
      <c r="AD33" s="98"/>
      <c r="AE33" s="98"/>
      <c r="AF33" s="98">
        <f>N33+(AC33/100000)</f>
        <v>198.00008</v>
      </c>
      <c r="AG33" s="99"/>
      <c r="AH33" s="99"/>
      <c r="AI33" s="99"/>
      <c r="AJ33" s="99"/>
      <c r="AK33" s="99">
        <f>RANK(AF33,$AF$4:$AF$51,0)</f>
        <v>1</v>
      </c>
      <c r="AL33" s="99">
        <f>COUNTIF($AK$4:$AK$51,AK33)</f>
        <v>1</v>
      </c>
      <c r="AM33" s="105"/>
      <c r="AN33" s="105"/>
      <c r="AO33" s="105">
        <f>K33</f>
        <v>38</v>
      </c>
      <c r="AP33" s="109"/>
      <c r="AQ33" s="109"/>
      <c r="AR33" s="109">
        <f>RANK(AO33,$AO$4:$AO$51,1)</f>
        <v>7</v>
      </c>
      <c r="AS33" s="109"/>
      <c r="AT33" s="109"/>
      <c r="AU33" s="109">
        <f>(N33+(AC33/100000))-N33+(N33+(AR33/100000))</f>
        <v>198.00015</v>
      </c>
      <c r="AV33" s="105"/>
      <c r="AW33" s="105"/>
      <c r="AX33" s="105">
        <f>RANK(AU33,$AU$4:$AU$51,0)</f>
        <v>1</v>
      </c>
      <c r="AY33" s="172">
        <f>IF(W33=1,V33,IF(AL33=1,AK33,AX33))</f>
        <v>1</v>
      </c>
      <c r="AZ33" s="326"/>
      <c r="BA33" s="323"/>
    </row>
    <row r="34" spans="1:53" ht="14.25" customHeight="1">
      <c r="A34" s="91">
        <v>60</v>
      </c>
      <c r="B34" s="91">
        <v>30</v>
      </c>
      <c r="C34" s="91">
        <v>30</v>
      </c>
      <c r="F34" s="333" t="str">
        <f>IF('Jmený seznam'!D35,'Jmený seznam'!C35)</f>
        <v>Severočeský</v>
      </c>
      <c r="G34" s="30">
        <v>31</v>
      </c>
      <c r="H34" s="55" t="str">
        <f>IF('Jmený seznam'!D35,'Jmený seznam'!E35)</f>
        <v>Merhaut Petr</v>
      </c>
      <c r="I34" s="56" t="s">
        <v>20</v>
      </c>
      <c r="J34" s="57">
        <v>68</v>
      </c>
      <c r="K34" s="57">
        <v>35</v>
      </c>
      <c r="L34" s="57">
        <v>10</v>
      </c>
      <c r="M34" s="57">
        <v>22</v>
      </c>
      <c r="N34" s="57">
        <f t="shared" si="8"/>
        <v>135</v>
      </c>
      <c r="O34" s="58">
        <f>N34</f>
        <v>135</v>
      </c>
      <c r="P34" s="81"/>
      <c r="Q34" s="81"/>
      <c r="R34" s="59">
        <f t="shared" si="1"/>
        <v>28</v>
      </c>
      <c r="S34" s="113">
        <f>COUNTIF($R$4:$R$51,R34)</f>
        <v>2</v>
      </c>
      <c r="T34" s="59"/>
      <c r="U34" s="59"/>
      <c r="V34" s="59"/>
      <c r="W34" s="59"/>
      <c r="X34" s="83">
        <f t="shared" si="2"/>
        <v>67</v>
      </c>
      <c r="Y34" s="83"/>
      <c r="Z34" s="83"/>
      <c r="AA34" s="89">
        <f>RANK(X34,$X$4:$X$51,1)</f>
        <v>9</v>
      </c>
      <c r="AB34" s="89"/>
      <c r="AC34" s="89"/>
      <c r="AD34" s="89">
        <f t="shared" si="6"/>
        <v>135.00009</v>
      </c>
      <c r="AE34" s="89"/>
      <c r="AF34" s="89"/>
      <c r="AG34" s="93">
        <f t="shared" si="3"/>
        <v>29</v>
      </c>
      <c r="AH34" s="93">
        <f>COUNTIF($AG$4:$AG$51,AG34)</f>
        <v>1</v>
      </c>
      <c r="AI34" s="93"/>
      <c r="AJ34" s="93"/>
      <c r="AK34" s="93"/>
      <c r="AL34" s="93"/>
      <c r="AM34" s="103">
        <f t="shared" si="4"/>
        <v>35</v>
      </c>
      <c r="AN34" s="103"/>
      <c r="AO34" s="103"/>
      <c r="AP34" s="107">
        <f>RANK(AM34,$AM$4:$AM$51,1)</f>
        <v>17</v>
      </c>
      <c r="AQ34" s="107"/>
      <c r="AR34" s="107"/>
      <c r="AS34" s="111">
        <f>(N34+(AA34/100000))-N34+(N34+(AP34/100000))</f>
        <v>135.00026</v>
      </c>
      <c r="AT34" s="107"/>
      <c r="AU34" s="107"/>
      <c r="AV34" s="112">
        <f>RANK(AS34,$AS$4:$AS$51,0)</f>
        <v>28</v>
      </c>
      <c r="AW34" s="103"/>
      <c r="AX34" s="103"/>
      <c r="AY34" s="246">
        <v>28</v>
      </c>
      <c r="AZ34" s="324">
        <f>SUM(AY34:AY39)</f>
        <v>109</v>
      </c>
      <c r="BA34" s="321">
        <f>RANK(AZ34,$AZ$4:$AZ$51,1)</f>
        <v>8</v>
      </c>
    </row>
    <row r="35" spans="1:53" ht="14.25" customHeight="1">
      <c r="A35" s="91">
        <v>62</v>
      </c>
      <c r="B35" s="91">
        <v>31</v>
      </c>
      <c r="C35" s="91"/>
      <c r="F35" s="331"/>
      <c r="G35" s="28">
        <v>32</v>
      </c>
      <c r="H35" s="60" t="str">
        <f>IF('Jmený seznam'!D36,'Jmený seznam'!E36)</f>
        <v>Knobloch Jan</v>
      </c>
      <c r="I35" s="51" t="s">
        <v>20</v>
      </c>
      <c r="J35" s="52">
        <v>84</v>
      </c>
      <c r="K35" s="52">
        <v>28</v>
      </c>
      <c r="L35" s="52">
        <v>5</v>
      </c>
      <c r="M35" s="52">
        <v>13</v>
      </c>
      <c r="N35" s="52">
        <f t="shared" si="8"/>
        <v>130</v>
      </c>
      <c r="O35" s="53">
        <f>N35</f>
        <v>130</v>
      </c>
      <c r="P35" s="79"/>
      <c r="Q35" s="79"/>
      <c r="R35" s="54">
        <f t="shared" si="1"/>
        <v>30</v>
      </c>
      <c r="S35" s="54">
        <f>COUNTIF($R$4:$R$51,R35)</f>
        <v>2</v>
      </c>
      <c r="T35" s="54"/>
      <c r="U35" s="54"/>
      <c r="V35" s="54"/>
      <c r="W35" s="54"/>
      <c r="X35" s="84">
        <f t="shared" si="2"/>
        <v>46</v>
      </c>
      <c r="Y35" s="84"/>
      <c r="Z35" s="84"/>
      <c r="AA35" s="90">
        <f>RANK(X35,$X$4:$X$51,1)</f>
        <v>1</v>
      </c>
      <c r="AB35" s="90"/>
      <c r="AC35" s="90"/>
      <c r="AD35" s="90">
        <f t="shared" si="6"/>
        <v>130.00001</v>
      </c>
      <c r="AE35" s="90"/>
      <c r="AF35" s="90"/>
      <c r="AG35" s="95">
        <f t="shared" si="3"/>
        <v>32</v>
      </c>
      <c r="AH35" s="95">
        <f>COUNTIF($AG$4:$AG$51,AG35)</f>
        <v>1</v>
      </c>
      <c r="AI35" s="95"/>
      <c r="AJ35" s="95"/>
      <c r="AK35" s="95"/>
      <c r="AL35" s="95"/>
      <c r="AM35" s="104">
        <f t="shared" si="4"/>
        <v>28</v>
      </c>
      <c r="AN35" s="104"/>
      <c r="AO35" s="104"/>
      <c r="AP35" s="108">
        <f>RANK(AM35,$AM$4:$AM$51,1)</f>
        <v>5</v>
      </c>
      <c r="AQ35" s="108"/>
      <c r="AR35" s="108"/>
      <c r="AS35" s="108">
        <f t="shared" si="7"/>
        <v>130.00006</v>
      </c>
      <c r="AT35" s="108"/>
      <c r="AU35" s="108"/>
      <c r="AV35" s="104">
        <f>RANK(AS35,$AS$4:$AS$51,0)</f>
        <v>31</v>
      </c>
      <c r="AW35" s="104"/>
      <c r="AX35" s="104"/>
      <c r="AY35" s="131">
        <v>31</v>
      </c>
      <c r="AZ35" s="325"/>
      <c r="BA35" s="322"/>
    </row>
    <row r="36" spans="1:53" ht="14.25" customHeight="1">
      <c r="A36" s="91">
        <v>64</v>
      </c>
      <c r="B36" s="91">
        <v>32</v>
      </c>
      <c r="C36" s="91"/>
      <c r="F36" s="331"/>
      <c r="G36" s="28">
        <v>33</v>
      </c>
      <c r="H36" s="60" t="str">
        <f>IF('Jmený seznam'!D37,'Jmený seznam'!E37)</f>
        <v>Richter Jiří</v>
      </c>
      <c r="I36" s="51" t="s">
        <v>20</v>
      </c>
      <c r="J36" s="52">
        <v>72</v>
      </c>
      <c r="K36" s="52">
        <v>28</v>
      </c>
      <c r="L36" s="52">
        <v>23</v>
      </c>
      <c r="M36" s="52">
        <v>22</v>
      </c>
      <c r="N36" s="52">
        <f t="shared" si="8"/>
        <v>145</v>
      </c>
      <c r="O36" s="53">
        <f>N36</f>
        <v>145</v>
      </c>
      <c r="P36" s="79"/>
      <c r="Q36" s="79"/>
      <c r="R36" s="54">
        <f t="shared" si="1"/>
        <v>22</v>
      </c>
      <c r="S36" s="54">
        <f>COUNTIF($R$4:$R$51,R36)</f>
        <v>1</v>
      </c>
      <c r="T36" s="54"/>
      <c r="U36" s="54"/>
      <c r="V36" s="54"/>
      <c r="W36" s="54"/>
      <c r="X36" s="84">
        <f t="shared" si="2"/>
        <v>73</v>
      </c>
      <c r="Y36" s="84"/>
      <c r="Z36" s="84"/>
      <c r="AA36" s="90">
        <f>RANK(X36,$X$4:$X$51,1)</f>
        <v>13</v>
      </c>
      <c r="AB36" s="90"/>
      <c r="AC36" s="90"/>
      <c r="AD36" s="90">
        <f t="shared" si="6"/>
        <v>145.00013</v>
      </c>
      <c r="AE36" s="90"/>
      <c r="AF36" s="90"/>
      <c r="AG36" s="95">
        <f t="shared" si="3"/>
        <v>23</v>
      </c>
      <c r="AH36" s="95">
        <f>COUNTIF($AG$4:$AG$51,AG36)</f>
        <v>1</v>
      </c>
      <c r="AI36" s="95"/>
      <c r="AJ36" s="95"/>
      <c r="AK36" s="95"/>
      <c r="AL36" s="95"/>
      <c r="AM36" s="104">
        <f t="shared" si="4"/>
        <v>28</v>
      </c>
      <c r="AN36" s="104"/>
      <c r="AO36" s="104"/>
      <c r="AP36" s="108">
        <f>RANK(AM36,$AM$4:$AM$51,1)</f>
        <v>5</v>
      </c>
      <c r="AQ36" s="108"/>
      <c r="AR36" s="108"/>
      <c r="AS36" s="108">
        <f t="shared" si="7"/>
        <v>145.00018</v>
      </c>
      <c r="AT36" s="108"/>
      <c r="AU36" s="108"/>
      <c r="AV36" s="104">
        <f>RANK(AS36,$AS$4:$AS$51,0)</f>
        <v>22</v>
      </c>
      <c r="AW36" s="104"/>
      <c r="AX36" s="104"/>
      <c r="AY36" s="131">
        <f>IF(S36=1,R36,IF(AH36=1,AG36,AV36))</f>
        <v>22</v>
      </c>
      <c r="AZ36" s="325"/>
      <c r="BA36" s="322"/>
    </row>
    <row r="37" spans="1:61" ht="14.25" customHeight="1">
      <c r="A37" s="91">
        <v>66</v>
      </c>
      <c r="B37" s="91">
        <v>33</v>
      </c>
      <c r="C37" s="91"/>
      <c r="F37" s="331"/>
      <c r="G37" s="28">
        <v>34</v>
      </c>
      <c r="H37" s="60" t="str">
        <f>IF('Jmený seznam'!D38,'Jmený seznam'!E38)</f>
        <v>Farský Jaromír</v>
      </c>
      <c r="I37" s="51" t="s">
        <v>20</v>
      </c>
      <c r="J37" s="52">
        <v>94</v>
      </c>
      <c r="K37" s="52">
        <v>35</v>
      </c>
      <c r="L37" s="52">
        <v>19</v>
      </c>
      <c r="M37" s="52">
        <v>26</v>
      </c>
      <c r="N37" s="52">
        <f t="shared" si="8"/>
        <v>174</v>
      </c>
      <c r="O37" s="53">
        <f>N37</f>
        <v>174</v>
      </c>
      <c r="P37" s="79"/>
      <c r="Q37" s="79"/>
      <c r="R37" s="54">
        <f t="shared" si="1"/>
        <v>14</v>
      </c>
      <c r="S37" s="54">
        <f>COUNTIF($R$4:$R$51,R37)</f>
        <v>1</v>
      </c>
      <c r="T37" s="54"/>
      <c r="U37" s="54"/>
      <c r="V37" s="54"/>
      <c r="W37" s="54"/>
      <c r="X37" s="84">
        <f t="shared" si="2"/>
        <v>80</v>
      </c>
      <c r="Y37" s="84"/>
      <c r="Z37" s="84"/>
      <c r="AA37" s="90">
        <f>RANK(X37,$X$4:$X$51,1)</f>
        <v>17</v>
      </c>
      <c r="AB37" s="90"/>
      <c r="AC37" s="90"/>
      <c r="AD37" s="90">
        <f t="shared" si="6"/>
        <v>174.00017</v>
      </c>
      <c r="AE37" s="90"/>
      <c r="AF37" s="90"/>
      <c r="AG37" s="95">
        <f t="shared" si="3"/>
        <v>15</v>
      </c>
      <c r="AH37" s="95">
        <f>COUNTIF($AG$4:$AG$51,AG37)</f>
        <v>1</v>
      </c>
      <c r="AI37" s="95"/>
      <c r="AJ37" s="95"/>
      <c r="AK37" s="95"/>
      <c r="AL37" s="95"/>
      <c r="AM37" s="104">
        <f t="shared" si="4"/>
        <v>35</v>
      </c>
      <c r="AN37" s="104"/>
      <c r="AO37" s="104"/>
      <c r="AP37" s="108">
        <f>RANK(AM37,$AM$4:$AM$51,1)</f>
        <v>17</v>
      </c>
      <c r="AQ37" s="108"/>
      <c r="AR37" s="108"/>
      <c r="AS37" s="108">
        <f t="shared" si="7"/>
        <v>174.00034</v>
      </c>
      <c r="AT37" s="108"/>
      <c r="AU37" s="108"/>
      <c r="AV37" s="104">
        <f>RANK(AS37,$AS$4:$AS$51,0)</f>
        <v>14</v>
      </c>
      <c r="AW37" s="104"/>
      <c r="AX37" s="104"/>
      <c r="AY37" s="247">
        <f>IF(S37=1,R37,IF(AH37=1,AG37,AV37))</f>
        <v>14</v>
      </c>
      <c r="AZ37" s="325"/>
      <c r="BA37" s="322"/>
      <c r="BI37" s="49"/>
    </row>
    <row r="38" spans="1:53" ht="14.25" customHeight="1">
      <c r="A38" s="91">
        <v>68</v>
      </c>
      <c r="B38" s="91">
        <v>34</v>
      </c>
      <c r="C38" s="91"/>
      <c r="F38" s="331"/>
      <c r="G38" s="28">
        <v>35</v>
      </c>
      <c r="H38" s="60" t="str">
        <f>IF('Jmený seznam'!D39,'Jmený seznam'!E39)</f>
        <v>Kasalová Marie</v>
      </c>
      <c r="I38" s="51" t="s">
        <v>24</v>
      </c>
      <c r="J38" s="52">
        <v>72</v>
      </c>
      <c r="K38" s="52">
        <v>27</v>
      </c>
      <c r="L38" s="52">
        <v>16</v>
      </c>
      <c r="M38" s="52">
        <v>23</v>
      </c>
      <c r="N38" s="52">
        <f t="shared" si="8"/>
        <v>138</v>
      </c>
      <c r="O38" s="79"/>
      <c r="P38" s="53">
        <f>N38</f>
        <v>138</v>
      </c>
      <c r="Q38" s="79"/>
      <c r="R38" s="54"/>
      <c r="S38" s="54"/>
      <c r="T38" s="54">
        <f>RANK(P38,$P$4:$P$51,0)</f>
        <v>8</v>
      </c>
      <c r="U38" s="54">
        <f>COUNTIF($T$4:$T$51,T38)</f>
        <v>1</v>
      </c>
      <c r="V38" s="54"/>
      <c r="W38" s="54"/>
      <c r="X38" s="84"/>
      <c r="Y38" s="84">
        <f>SUM(K38,L38,M38)</f>
        <v>66</v>
      </c>
      <c r="Z38" s="84"/>
      <c r="AA38" s="90"/>
      <c r="AB38" s="90">
        <f>RANK(Y38,$Y$4:$Y$51,1)</f>
        <v>1</v>
      </c>
      <c r="AC38" s="90"/>
      <c r="AD38" s="90"/>
      <c r="AE38" s="90">
        <f>N38+(AB38/100000)</f>
        <v>138.00001</v>
      </c>
      <c r="AF38" s="90"/>
      <c r="AG38" s="95"/>
      <c r="AH38" s="95"/>
      <c r="AI38" s="95">
        <f>RANK(AE38,$AE$4:$AE$51,0)</f>
        <v>8</v>
      </c>
      <c r="AJ38" s="95">
        <f>COUNTIF($AI$4:$AI$51,AI38)</f>
        <v>1</v>
      </c>
      <c r="AK38" s="95"/>
      <c r="AL38" s="95"/>
      <c r="AM38" s="104"/>
      <c r="AN38" s="104">
        <f>K38</f>
        <v>27</v>
      </c>
      <c r="AO38" s="104"/>
      <c r="AP38" s="108"/>
      <c r="AQ38" s="108">
        <f>RANK(AN38,$AN$4:$AN$51,1)</f>
        <v>1</v>
      </c>
      <c r="AR38" s="108"/>
      <c r="AS38" s="108"/>
      <c r="AT38" s="108">
        <f>(N38+(AB38/100000))-N38+(N38+(AQ38/100000))</f>
        <v>138.00002</v>
      </c>
      <c r="AU38" s="108"/>
      <c r="AV38" s="104"/>
      <c r="AW38" s="104">
        <f>RANK(AT38,$AT$4:$AT$51,0)</f>
        <v>8</v>
      </c>
      <c r="AX38" s="104"/>
      <c r="AY38" s="131">
        <f>IF(U38=1,T38,IF(AJ38=1,AI38,AW38))</f>
        <v>8</v>
      </c>
      <c r="AZ38" s="325"/>
      <c r="BA38" s="322"/>
    </row>
    <row r="39" spans="1:53" ht="14.25" customHeight="1" thickBot="1">
      <c r="A39" s="91">
        <v>70</v>
      </c>
      <c r="B39" s="91">
        <v>35</v>
      </c>
      <c r="C39" s="91"/>
      <c r="F39" s="332"/>
      <c r="G39" s="29">
        <v>36</v>
      </c>
      <c r="H39" s="73" t="str">
        <f>IF('Jmený seznam'!D40,'Jmený seznam'!E40)</f>
        <v>Žejdl Ondřej</v>
      </c>
      <c r="I39" s="74" t="s">
        <v>26</v>
      </c>
      <c r="J39" s="75">
        <v>86</v>
      </c>
      <c r="K39" s="75">
        <v>35</v>
      </c>
      <c r="L39" s="75">
        <v>21</v>
      </c>
      <c r="M39" s="75">
        <v>30</v>
      </c>
      <c r="N39" s="75">
        <f t="shared" si="8"/>
        <v>172</v>
      </c>
      <c r="O39" s="82"/>
      <c r="P39" s="82"/>
      <c r="Q39" s="76">
        <f>N39</f>
        <v>172</v>
      </c>
      <c r="R39" s="77"/>
      <c r="S39" s="77"/>
      <c r="T39" s="77"/>
      <c r="U39" s="77"/>
      <c r="V39" s="77">
        <f>RANK(Q39,$Q$4:$Q$51,0)</f>
        <v>6</v>
      </c>
      <c r="W39" s="77">
        <f>COUNTIF($V$4:$V$51,V39)</f>
        <v>1</v>
      </c>
      <c r="X39" s="86"/>
      <c r="Y39" s="86"/>
      <c r="Z39" s="86">
        <f>SUM(K39,L39,M39)</f>
        <v>86</v>
      </c>
      <c r="AA39" s="98"/>
      <c r="AB39" s="98"/>
      <c r="AC39" s="98">
        <f>RANK(Z39,$Z$4:$Z$51,1)</f>
        <v>4</v>
      </c>
      <c r="AD39" s="98"/>
      <c r="AE39" s="98"/>
      <c r="AF39" s="98">
        <f>N39+(AC39/100000)</f>
        <v>172.00004</v>
      </c>
      <c r="AG39" s="99"/>
      <c r="AH39" s="99"/>
      <c r="AI39" s="99"/>
      <c r="AJ39" s="99"/>
      <c r="AK39" s="99">
        <f>RANK(AF39,$AF$4:$AF$51,0)</f>
        <v>6</v>
      </c>
      <c r="AL39" s="99">
        <f>COUNTIF($AK$4:$AK$51,AK39)</f>
        <v>1</v>
      </c>
      <c r="AM39" s="105"/>
      <c r="AN39" s="105"/>
      <c r="AO39" s="105">
        <f>K39</f>
        <v>35</v>
      </c>
      <c r="AP39" s="109"/>
      <c r="AQ39" s="109"/>
      <c r="AR39" s="109">
        <f>RANK(AO39,$AO$4:$AO$51,1)</f>
        <v>3</v>
      </c>
      <c r="AS39" s="109"/>
      <c r="AT39" s="109"/>
      <c r="AU39" s="109">
        <f>(N39+(AC39/100000))-N39+(N39+(AR39/100000))</f>
        <v>172.00007000000002</v>
      </c>
      <c r="AV39" s="105"/>
      <c r="AW39" s="105"/>
      <c r="AX39" s="105">
        <f>RANK(AU39,$AU$4:$AU$51,0)</f>
        <v>6</v>
      </c>
      <c r="AY39" s="172">
        <f>IF(W39=1,V39,IF(AL39=1,AK39,AX39))</f>
        <v>6</v>
      </c>
      <c r="AZ39" s="326"/>
      <c r="BA39" s="323"/>
    </row>
    <row r="40" spans="1:53" ht="14.25" customHeight="1">
      <c r="A40" s="91">
        <v>72</v>
      </c>
      <c r="B40" s="91">
        <v>36</v>
      </c>
      <c r="C40" s="91"/>
      <c r="F40" s="333" t="str">
        <f>IF('Jmený seznam'!D41,'Jmený seznam'!C41)</f>
        <v>Středočeský</v>
      </c>
      <c r="G40" s="45">
        <v>37</v>
      </c>
      <c r="H40" s="55" t="str">
        <f>IF('Jmený seznam'!D41,'Jmený seznam'!E41)</f>
        <v>Červenková Jana</v>
      </c>
      <c r="I40" s="56" t="s">
        <v>20</v>
      </c>
      <c r="J40" s="57">
        <v>48</v>
      </c>
      <c r="K40" s="57">
        <v>28</v>
      </c>
      <c r="L40" s="57">
        <v>8</v>
      </c>
      <c r="M40" s="57">
        <v>21</v>
      </c>
      <c r="N40" s="57">
        <f t="shared" si="8"/>
        <v>105</v>
      </c>
      <c r="O40" s="58">
        <f>N40</f>
        <v>105</v>
      </c>
      <c r="P40" s="81"/>
      <c r="Q40" s="81"/>
      <c r="R40" s="59">
        <f t="shared" si="1"/>
        <v>32</v>
      </c>
      <c r="S40" s="113">
        <f>COUNTIF($R$4:$R$51,R40)</f>
        <v>1</v>
      </c>
      <c r="T40" s="59"/>
      <c r="U40" s="59"/>
      <c r="V40" s="59"/>
      <c r="W40" s="59"/>
      <c r="X40" s="83">
        <f t="shared" si="2"/>
        <v>57</v>
      </c>
      <c r="Y40" s="83"/>
      <c r="Z40" s="83"/>
      <c r="AA40" s="89">
        <f>RANK(X40,$X$4:$X$51,1)</f>
        <v>5</v>
      </c>
      <c r="AB40" s="89"/>
      <c r="AC40" s="89"/>
      <c r="AD40" s="89">
        <f t="shared" si="6"/>
        <v>105.00005</v>
      </c>
      <c r="AE40" s="89"/>
      <c r="AF40" s="89"/>
      <c r="AG40" s="93">
        <f t="shared" si="3"/>
        <v>33</v>
      </c>
      <c r="AH40" s="93">
        <f>COUNTIF($AG$4:$AG$51,AG40)</f>
        <v>1</v>
      </c>
      <c r="AI40" s="93"/>
      <c r="AJ40" s="93"/>
      <c r="AK40" s="93"/>
      <c r="AL40" s="93"/>
      <c r="AM40" s="103">
        <f t="shared" si="4"/>
        <v>28</v>
      </c>
      <c r="AN40" s="103"/>
      <c r="AO40" s="103"/>
      <c r="AP40" s="107">
        <f>RANK(AM40,$AM$4:$AM$51,1)</f>
        <v>5</v>
      </c>
      <c r="AQ40" s="107"/>
      <c r="AR40" s="107"/>
      <c r="AS40" s="111">
        <f>(N40+(AA40/100000))-N40+(N40+(AP40/100000))</f>
        <v>105.0001</v>
      </c>
      <c r="AT40" s="107"/>
      <c r="AU40" s="107"/>
      <c r="AV40" s="112">
        <f>RANK(AS40,$AS$4:$AS$51,0)</f>
        <v>32</v>
      </c>
      <c r="AW40" s="103"/>
      <c r="AX40" s="103"/>
      <c r="AY40" s="246">
        <f>IF(S40=1,R40,IF(AH40=1,AG40,AV40))</f>
        <v>32</v>
      </c>
      <c r="AZ40" s="324">
        <f>SUM(AY40:AY45)</f>
        <v>100</v>
      </c>
      <c r="BA40" s="321">
        <f>RANK(AZ40,$AZ$4:$AZ$51,1)</f>
        <v>6</v>
      </c>
    </row>
    <row r="41" spans="1:53" ht="14.25" customHeight="1">
      <c r="A41" s="91">
        <v>74</v>
      </c>
      <c r="B41" s="91">
        <v>37</v>
      </c>
      <c r="C41" s="91"/>
      <c r="F41" s="331"/>
      <c r="G41" s="28">
        <v>38</v>
      </c>
      <c r="H41" s="60" t="str">
        <f>IF('Jmený seznam'!D42,'Jmený seznam'!E42)</f>
        <v>Červenka Jiří</v>
      </c>
      <c r="I41" s="51" t="s">
        <v>20</v>
      </c>
      <c r="J41" s="52">
        <v>80</v>
      </c>
      <c r="K41" s="52">
        <v>27</v>
      </c>
      <c r="L41" s="52">
        <v>11</v>
      </c>
      <c r="M41" s="52">
        <v>17</v>
      </c>
      <c r="N41" s="52">
        <f t="shared" si="8"/>
        <v>135</v>
      </c>
      <c r="O41" s="53">
        <f>N41</f>
        <v>135</v>
      </c>
      <c r="P41" s="53"/>
      <c r="Q41" s="79"/>
      <c r="R41" s="54">
        <f t="shared" si="1"/>
        <v>28</v>
      </c>
      <c r="S41" s="54">
        <f>COUNTIF($R$4:$R$51,R41)</f>
        <v>2</v>
      </c>
      <c r="T41" s="54"/>
      <c r="U41" s="54"/>
      <c r="V41" s="54"/>
      <c r="W41" s="54"/>
      <c r="X41" s="84">
        <f t="shared" si="2"/>
        <v>55</v>
      </c>
      <c r="Y41" s="84"/>
      <c r="Z41" s="84"/>
      <c r="AA41" s="90">
        <f>RANK(X41,$X$4:$X$51,1)</f>
        <v>3</v>
      </c>
      <c r="AB41" s="90"/>
      <c r="AC41" s="90"/>
      <c r="AD41" s="90">
        <f t="shared" si="6"/>
        <v>135.00003</v>
      </c>
      <c r="AE41" s="90"/>
      <c r="AF41" s="90"/>
      <c r="AG41" s="95">
        <f t="shared" si="3"/>
        <v>30</v>
      </c>
      <c r="AH41" s="95">
        <f>COUNTIF($AG$4:$AG$51,AG41)</f>
        <v>1</v>
      </c>
      <c r="AI41" s="95"/>
      <c r="AJ41" s="95"/>
      <c r="AK41" s="95"/>
      <c r="AL41" s="95"/>
      <c r="AM41" s="104">
        <f t="shared" si="4"/>
        <v>27</v>
      </c>
      <c r="AN41" s="104"/>
      <c r="AO41" s="104"/>
      <c r="AP41" s="108">
        <f>RANK(AM41,$AM$4:$AM$51,1)</f>
        <v>4</v>
      </c>
      <c r="AQ41" s="108"/>
      <c r="AR41" s="108"/>
      <c r="AS41" s="108">
        <f t="shared" si="7"/>
        <v>135.00007000000002</v>
      </c>
      <c r="AT41" s="108"/>
      <c r="AU41" s="108"/>
      <c r="AV41" s="104">
        <f>RANK(AS41,$AS$4:$AS$51,0)</f>
        <v>29</v>
      </c>
      <c r="AW41" s="104"/>
      <c r="AX41" s="104"/>
      <c r="AY41" s="131">
        <v>29</v>
      </c>
      <c r="AZ41" s="325"/>
      <c r="BA41" s="322"/>
    </row>
    <row r="42" spans="1:53" ht="14.25" customHeight="1">
      <c r="A42" s="91">
        <v>76</v>
      </c>
      <c r="B42" s="91">
        <v>38</v>
      </c>
      <c r="C42" s="91"/>
      <c r="F42" s="331"/>
      <c r="G42" s="28">
        <v>39</v>
      </c>
      <c r="H42" s="60" t="str">
        <f>IF('Jmený seznam'!D43,'Jmený seznam'!E43)</f>
        <v>Šedivý Vojtěch</v>
      </c>
      <c r="I42" s="51" t="s">
        <v>20</v>
      </c>
      <c r="J42" s="52">
        <v>98</v>
      </c>
      <c r="K42" s="52">
        <v>36</v>
      </c>
      <c r="L42" s="52">
        <v>24</v>
      </c>
      <c r="M42" s="52">
        <v>26</v>
      </c>
      <c r="N42" s="52">
        <f t="shared" si="8"/>
        <v>184</v>
      </c>
      <c r="O42" s="53">
        <f>N42</f>
        <v>184</v>
      </c>
      <c r="P42" s="79"/>
      <c r="Q42" s="79"/>
      <c r="R42" s="54">
        <f t="shared" si="1"/>
        <v>8</v>
      </c>
      <c r="S42" s="54">
        <f>COUNTIF($R$4:$R$51,R42)</f>
        <v>1</v>
      </c>
      <c r="T42" s="54"/>
      <c r="U42" s="54"/>
      <c r="V42" s="54"/>
      <c r="W42" s="54"/>
      <c r="X42" s="84">
        <f t="shared" si="2"/>
        <v>86</v>
      </c>
      <c r="Y42" s="84"/>
      <c r="Z42" s="84"/>
      <c r="AA42" s="90">
        <f>RANK(X42,$X$4:$X$51,1)</f>
        <v>21</v>
      </c>
      <c r="AB42" s="90"/>
      <c r="AC42" s="90"/>
      <c r="AD42" s="90">
        <f t="shared" si="6"/>
        <v>184.00021</v>
      </c>
      <c r="AE42" s="90"/>
      <c r="AF42" s="90"/>
      <c r="AG42" s="95">
        <f t="shared" si="3"/>
        <v>9</v>
      </c>
      <c r="AH42" s="95">
        <f>COUNTIF($AG$4:$AG$51,AG42)</f>
        <v>1</v>
      </c>
      <c r="AI42" s="95"/>
      <c r="AJ42" s="95"/>
      <c r="AK42" s="95"/>
      <c r="AL42" s="95"/>
      <c r="AM42" s="104">
        <f t="shared" si="4"/>
        <v>36</v>
      </c>
      <c r="AN42" s="104"/>
      <c r="AO42" s="104"/>
      <c r="AP42" s="108">
        <f>RANK(AM42,$AM$4:$AM$51,1)</f>
        <v>20</v>
      </c>
      <c r="AQ42" s="108"/>
      <c r="AR42" s="108"/>
      <c r="AS42" s="108">
        <f t="shared" si="7"/>
        <v>184.00041000000002</v>
      </c>
      <c r="AT42" s="108"/>
      <c r="AU42" s="108"/>
      <c r="AV42" s="104">
        <f>RANK(AS42,$AS$4:$AS$51,0)</f>
        <v>8</v>
      </c>
      <c r="AW42" s="104"/>
      <c r="AX42" s="104"/>
      <c r="AY42" s="131">
        <f>IF(S42=1,R42,IF(AH42=1,AG42,AV42))</f>
        <v>8</v>
      </c>
      <c r="AZ42" s="325"/>
      <c r="BA42" s="322"/>
    </row>
    <row r="43" spans="1:53" ht="14.25" customHeight="1">
      <c r="A43" s="91">
        <v>78</v>
      </c>
      <c r="B43" s="91">
        <v>39</v>
      </c>
      <c r="C43" s="91"/>
      <c r="F43" s="331"/>
      <c r="G43" s="28">
        <v>40</v>
      </c>
      <c r="H43" s="60" t="str">
        <f>IF('Jmený seznam'!D44,'Jmený seznam'!E44)</f>
        <v>Dvořák Matěj</v>
      </c>
      <c r="I43" s="51" t="s">
        <v>20</v>
      </c>
      <c r="J43" s="52">
        <v>74</v>
      </c>
      <c r="K43" s="52">
        <v>30</v>
      </c>
      <c r="L43" s="52">
        <v>17</v>
      </c>
      <c r="M43" s="52">
        <v>23</v>
      </c>
      <c r="N43" s="52">
        <f t="shared" si="8"/>
        <v>144</v>
      </c>
      <c r="O43" s="53">
        <f>N43</f>
        <v>144</v>
      </c>
      <c r="P43" s="79"/>
      <c r="Q43" s="79"/>
      <c r="R43" s="54">
        <f t="shared" si="1"/>
        <v>23</v>
      </c>
      <c r="S43" s="54">
        <f>COUNTIF($R$4:$R$51,R43)</f>
        <v>1</v>
      </c>
      <c r="T43" s="54"/>
      <c r="U43" s="54"/>
      <c r="V43" s="54"/>
      <c r="W43" s="54"/>
      <c r="X43" s="84">
        <f t="shared" si="2"/>
        <v>70</v>
      </c>
      <c r="Y43" s="84"/>
      <c r="Z43" s="84"/>
      <c r="AA43" s="90">
        <f>RANK(X43,$X$4:$X$51,1)</f>
        <v>11</v>
      </c>
      <c r="AB43" s="90"/>
      <c r="AC43" s="90"/>
      <c r="AD43" s="90">
        <f t="shared" si="6"/>
        <v>144.00011</v>
      </c>
      <c r="AE43" s="90"/>
      <c r="AF43" s="90"/>
      <c r="AG43" s="95">
        <f t="shared" si="3"/>
        <v>24</v>
      </c>
      <c r="AH43" s="95">
        <f>COUNTIF($AG$4:$AG$51,AG43)</f>
        <v>1</v>
      </c>
      <c r="AI43" s="95"/>
      <c r="AJ43" s="95"/>
      <c r="AK43" s="95"/>
      <c r="AL43" s="95"/>
      <c r="AM43" s="104">
        <f t="shared" si="4"/>
        <v>30</v>
      </c>
      <c r="AN43" s="104"/>
      <c r="AO43" s="104"/>
      <c r="AP43" s="108">
        <f>RANK(AM43,$AM$4:$AM$51,1)</f>
        <v>11</v>
      </c>
      <c r="AQ43" s="108"/>
      <c r="AR43" s="108"/>
      <c r="AS43" s="108">
        <f t="shared" si="7"/>
        <v>144.00022</v>
      </c>
      <c r="AT43" s="108"/>
      <c r="AU43" s="108"/>
      <c r="AV43" s="104">
        <f>RANK(AS43,$AS$4:$AS$51,0)</f>
        <v>23</v>
      </c>
      <c r="AW43" s="104"/>
      <c r="AX43" s="104"/>
      <c r="AY43" s="247">
        <f>IF(S43=1,R43,IF(AH43=1,AG43,AV43))</f>
        <v>23</v>
      </c>
      <c r="AZ43" s="325"/>
      <c r="BA43" s="322"/>
    </row>
    <row r="44" spans="1:53" ht="14.25" customHeight="1">
      <c r="A44" s="91">
        <v>80</v>
      </c>
      <c r="B44" s="91">
        <v>40</v>
      </c>
      <c r="C44" s="91"/>
      <c r="F44" s="331"/>
      <c r="G44" s="28">
        <v>41</v>
      </c>
      <c r="H44" s="60" t="str">
        <f>IF('Jmený seznam'!D45,'Jmený seznam'!E45)</f>
        <v>Caltová Zuzana</v>
      </c>
      <c r="I44" s="51" t="s">
        <v>24</v>
      </c>
      <c r="J44" s="52">
        <v>90</v>
      </c>
      <c r="K44" s="52">
        <v>29</v>
      </c>
      <c r="L44" s="52">
        <v>26</v>
      </c>
      <c r="M44" s="52">
        <v>22</v>
      </c>
      <c r="N44" s="52">
        <f t="shared" si="8"/>
        <v>167</v>
      </c>
      <c r="O44" s="79"/>
      <c r="P44" s="53">
        <f>N44</f>
        <v>167</v>
      </c>
      <c r="Q44" s="79"/>
      <c r="R44" s="54"/>
      <c r="S44" s="54"/>
      <c r="T44" s="54">
        <f>RANK(P44,$P$4:$P$51,0)</f>
        <v>6</v>
      </c>
      <c r="U44" s="54">
        <f>COUNTIF($T$4:$T$51,T44)</f>
        <v>1</v>
      </c>
      <c r="V44" s="54"/>
      <c r="W44" s="54"/>
      <c r="X44" s="84"/>
      <c r="Y44" s="84">
        <f>SUM(K44,L44,M44)</f>
        <v>77</v>
      </c>
      <c r="Z44" s="84"/>
      <c r="AA44" s="90"/>
      <c r="AB44" s="90">
        <f>RANK(Y44,$Y$4:$Y$51,1)</f>
        <v>3</v>
      </c>
      <c r="AC44" s="90"/>
      <c r="AD44" s="90"/>
      <c r="AE44" s="90">
        <f>N44+(AB44/100000)</f>
        <v>167.00003</v>
      </c>
      <c r="AF44" s="90"/>
      <c r="AG44" s="95"/>
      <c r="AH44" s="95"/>
      <c r="AI44" s="95">
        <f>RANK(AE44,$AE$4:$AE$51,0)</f>
        <v>6</v>
      </c>
      <c r="AJ44" s="95">
        <f>COUNTIF($AI$4:$AI$51,AI44)</f>
        <v>1</v>
      </c>
      <c r="AK44" s="95"/>
      <c r="AL44" s="95"/>
      <c r="AM44" s="104">
        <f t="shared" si="4"/>
        <v>29</v>
      </c>
      <c r="AN44" s="104">
        <f>K44</f>
        <v>29</v>
      </c>
      <c r="AO44" s="104"/>
      <c r="AP44" s="108">
        <f>RANK(AM44,$AM$4:$AM$51,1)</f>
        <v>9</v>
      </c>
      <c r="AQ44" s="108">
        <f>RANK(AN44,$AN$4:$AN$51,1)</f>
        <v>2</v>
      </c>
      <c r="AR44" s="108"/>
      <c r="AS44" s="108"/>
      <c r="AT44" s="108">
        <f>(N44+(AB44/100000))-N44+(N44+(AQ44/100000))</f>
        <v>167.00005000000002</v>
      </c>
      <c r="AU44" s="108"/>
      <c r="AV44" s="104"/>
      <c r="AW44" s="104">
        <f>RANK(AT44,$AT$4:$AT$51,0)</f>
        <v>6</v>
      </c>
      <c r="AX44" s="104"/>
      <c r="AY44" s="131">
        <f>IF(U44=1,T44,IF(AJ44=1,AI44,AW44))</f>
        <v>6</v>
      </c>
      <c r="AZ44" s="325"/>
      <c r="BA44" s="322"/>
    </row>
    <row r="45" spans="1:53" ht="14.25" customHeight="1" thickBot="1">
      <c r="A45" s="91">
        <v>82</v>
      </c>
      <c r="B45" s="92"/>
      <c r="C45" s="91"/>
      <c r="F45" s="332"/>
      <c r="G45" s="26">
        <v>42</v>
      </c>
      <c r="H45" s="73" t="str">
        <f>IF('Jmený seznam'!D46,'Jmený seznam'!E46)</f>
        <v>Linhart Jan</v>
      </c>
      <c r="I45" s="74" t="s">
        <v>26</v>
      </c>
      <c r="J45" s="75">
        <v>100</v>
      </c>
      <c r="K45" s="75">
        <v>40</v>
      </c>
      <c r="L45" s="75">
        <v>30</v>
      </c>
      <c r="M45" s="75">
        <v>26</v>
      </c>
      <c r="N45" s="75">
        <f t="shared" si="8"/>
        <v>196</v>
      </c>
      <c r="O45" s="82"/>
      <c r="P45" s="82"/>
      <c r="Q45" s="76">
        <f>N45</f>
        <v>196</v>
      </c>
      <c r="R45" s="77"/>
      <c r="S45" s="77"/>
      <c r="T45" s="77"/>
      <c r="U45" s="77"/>
      <c r="V45" s="77">
        <f>RANK(Q45,$Q$4:$Q$51,0)</f>
        <v>2</v>
      </c>
      <c r="W45" s="77">
        <f>COUNTIF($V$4:$V$51,V45)</f>
        <v>1</v>
      </c>
      <c r="X45" s="86"/>
      <c r="Y45" s="86"/>
      <c r="Z45" s="86">
        <f>SUM(K45,L45,M45)</f>
        <v>96</v>
      </c>
      <c r="AA45" s="98"/>
      <c r="AB45" s="98"/>
      <c r="AC45" s="98">
        <f>RANK(Z45,$Z$4:$Z$51,1)</f>
        <v>7</v>
      </c>
      <c r="AD45" s="98"/>
      <c r="AE45" s="98"/>
      <c r="AF45" s="98">
        <f>N45+(AC45/100000)</f>
        <v>196.00007</v>
      </c>
      <c r="AG45" s="99"/>
      <c r="AH45" s="99"/>
      <c r="AI45" s="99"/>
      <c r="AJ45" s="99"/>
      <c r="AK45" s="99">
        <f>RANK(AF45,$AF$4:$AF$51,0)</f>
        <v>2</v>
      </c>
      <c r="AL45" s="99">
        <f>COUNTIF($AK$4:$AK$51,AK45)</f>
        <v>1</v>
      </c>
      <c r="AM45" s="105"/>
      <c r="AN45" s="105"/>
      <c r="AO45" s="105">
        <f>K45</f>
        <v>40</v>
      </c>
      <c r="AP45" s="109"/>
      <c r="AQ45" s="109"/>
      <c r="AR45" s="109">
        <f>RANK(AO45,$AO$4:$AO$51,1)</f>
        <v>8</v>
      </c>
      <c r="AS45" s="109"/>
      <c r="AT45" s="109"/>
      <c r="AU45" s="109">
        <f>(N45+(AC45/100000))-N45+(N45+(AR45/100000))</f>
        <v>196.00015</v>
      </c>
      <c r="AV45" s="105"/>
      <c r="AW45" s="105"/>
      <c r="AX45" s="105">
        <f>RANK(AU45,$AU$4:$AU$51,0)</f>
        <v>2</v>
      </c>
      <c r="AY45" s="172">
        <f>IF(W45=1,V45,IF(AL45=1,AK45,AX45))</f>
        <v>2</v>
      </c>
      <c r="AZ45" s="326"/>
      <c r="BA45" s="323"/>
    </row>
    <row r="46" spans="1:53" ht="14.25" customHeight="1">
      <c r="A46" s="91">
        <v>84</v>
      </c>
      <c r="B46" s="92"/>
      <c r="C46" s="91"/>
      <c r="F46" s="333" t="str">
        <f>IF('Jmený seznam'!D47,'Jmený seznam'!C47)</f>
        <v>Jihočeský</v>
      </c>
      <c r="G46" s="45">
        <v>43</v>
      </c>
      <c r="H46" s="55" t="str">
        <f>IF('Jmený seznam'!D47,'Jmený seznam'!E47)</f>
        <v>Strupek Matěj</v>
      </c>
      <c r="I46" s="56" t="s">
        <v>20</v>
      </c>
      <c r="J46" s="57">
        <v>86</v>
      </c>
      <c r="K46" s="57">
        <v>35</v>
      </c>
      <c r="L46" s="57">
        <v>14</v>
      </c>
      <c r="M46" s="57">
        <v>22</v>
      </c>
      <c r="N46" s="57">
        <f t="shared" si="8"/>
        <v>157</v>
      </c>
      <c r="O46" s="58">
        <f>N46</f>
        <v>157</v>
      </c>
      <c r="P46" s="81"/>
      <c r="Q46" s="81"/>
      <c r="R46" s="59">
        <f t="shared" si="1"/>
        <v>20</v>
      </c>
      <c r="S46" s="113">
        <f>COUNTIF($R$4:$R$51,R46)</f>
        <v>1</v>
      </c>
      <c r="T46" s="59"/>
      <c r="U46" s="59"/>
      <c r="V46" s="59"/>
      <c r="W46" s="59"/>
      <c r="X46" s="83">
        <f t="shared" si="2"/>
        <v>71</v>
      </c>
      <c r="Y46" s="83"/>
      <c r="Z46" s="83"/>
      <c r="AA46" s="89">
        <f>RANK(X46,$X$4:$X$51,1)</f>
        <v>12</v>
      </c>
      <c r="AB46" s="89"/>
      <c r="AC46" s="89"/>
      <c r="AD46" s="89">
        <f t="shared" si="6"/>
        <v>157.00012</v>
      </c>
      <c r="AE46" s="89"/>
      <c r="AF46" s="89"/>
      <c r="AG46" s="93">
        <f t="shared" si="3"/>
        <v>21</v>
      </c>
      <c r="AH46" s="93">
        <f>COUNTIF($AG$4:$AG$51,AG46)</f>
        <v>1</v>
      </c>
      <c r="AI46" s="93"/>
      <c r="AJ46" s="93"/>
      <c r="AK46" s="93"/>
      <c r="AL46" s="93"/>
      <c r="AM46" s="103">
        <f t="shared" si="4"/>
        <v>35</v>
      </c>
      <c r="AN46" s="103"/>
      <c r="AO46" s="103"/>
      <c r="AP46" s="107">
        <f>RANK(AM46,$AM$4:$AM$51,1)</f>
        <v>17</v>
      </c>
      <c r="AQ46" s="107"/>
      <c r="AR46" s="107"/>
      <c r="AS46" s="111">
        <f>(N46+(AA46/100000))-N46+(N46+(AP46/100000))</f>
        <v>157.00029</v>
      </c>
      <c r="AT46" s="107"/>
      <c r="AU46" s="107"/>
      <c r="AV46" s="112">
        <f>RANK(AS46,$AS$4:$AS$51,0)</f>
        <v>20</v>
      </c>
      <c r="AW46" s="103"/>
      <c r="AX46" s="103"/>
      <c r="AY46" s="246">
        <f>IF(S46=1,R46,IF(AH46=1,AG46,AV46))</f>
        <v>20</v>
      </c>
      <c r="AZ46" s="324">
        <f>SUM(AY46:AY51)</f>
        <v>86</v>
      </c>
      <c r="BA46" s="321">
        <f>RANK(AZ46,$AZ$4:$AZ$51,1)</f>
        <v>4</v>
      </c>
    </row>
    <row r="47" spans="1:53" ht="14.25" customHeight="1">
      <c r="A47" s="91">
        <v>86</v>
      </c>
      <c r="B47" s="92"/>
      <c r="C47" s="91"/>
      <c r="F47" s="331"/>
      <c r="G47" s="50">
        <v>44</v>
      </c>
      <c r="H47" s="60" t="str">
        <f>IF('Jmený seznam'!D48,'Jmený seznam'!E48)</f>
        <v>Lešek Tomáš</v>
      </c>
      <c r="I47" s="51" t="s">
        <v>20</v>
      </c>
      <c r="J47" s="52">
        <v>68</v>
      </c>
      <c r="K47" s="52">
        <v>30</v>
      </c>
      <c r="L47" s="52">
        <v>26</v>
      </c>
      <c r="M47" s="52">
        <v>25</v>
      </c>
      <c r="N47" s="52">
        <f t="shared" si="8"/>
        <v>149</v>
      </c>
      <c r="O47" s="53">
        <f>N47</f>
        <v>149</v>
      </c>
      <c r="P47" s="79"/>
      <c r="Q47" s="79"/>
      <c r="R47" s="54">
        <f t="shared" si="1"/>
        <v>21</v>
      </c>
      <c r="S47" s="54">
        <f>COUNTIF($R$4:$R$51,R47)</f>
        <v>1</v>
      </c>
      <c r="T47" s="54"/>
      <c r="U47" s="54"/>
      <c r="V47" s="54"/>
      <c r="W47" s="54"/>
      <c r="X47" s="84">
        <f t="shared" si="2"/>
        <v>81</v>
      </c>
      <c r="Y47" s="84"/>
      <c r="Z47" s="84"/>
      <c r="AA47" s="90">
        <f>RANK(X47,$X$4:$X$51,1)</f>
        <v>18</v>
      </c>
      <c r="AB47" s="90"/>
      <c r="AC47" s="90"/>
      <c r="AD47" s="90">
        <f t="shared" si="6"/>
        <v>149.00018</v>
      </c>
      <c r="AE47" s="90"/>
      <c r="AF47" s="90"/>
      <c r="AG47" s="95">
        <f t="shared" si="3"/>
        <v>22</v>
      </c>
      <c r="AH47" s="95">
        <f>COUNTIF($AG$4:$AG$51,AG47)</f>
        <v>1</v>
      </c>
      <c r="AI47" s="95"/>
      <c r="AJ47" s="95"/>
      <c r="AK47" s="95"/>
      <c r="AL47" s="95"/>
      <c r="AM47" s="104">
        <f t="shared" si="4"/>
        <v>30</v>
      </c>
      <c r="AN47" s="104"/>
      <c r="AO47" s="104"/>
      <c r="AP47" s="108">
        <f>RANK(AM47,$AM$4:$AM$51,1)</f>
        <v>11</v>
      </c>
      <c r="AQ47" s="108"/>
      <c r="AR47" s="108"/>
      <c r="AS47" s="108">
        <f t="shared" si="7"/>
        <v>149.00029</v>
      </c>
      <c r="AT47" s="108"/>
      <c r="AU47" s="108"/>
      <c r="AV47" s="104">
        <f>RANK(AS47,$AS$4:$AS$51,0)</f>
        <v>21</v>
      </c>
      <c r="AW47" s="104"/>
      <c r="AX47" s="104"/>
      <c r="AY47" s="131">
        <f>IF(S47=1,R47,IF(AH47=1,AG47,AV47))</f>
        <v>21</v>
      </c>
      <c r="AZ47" s="325"/>
      <c r="BA47" s="322"/>
    </row>
    <row r="48" spans="1:53" ht="14.25" customHeight="1">
      <c r="A48" s="91">
        <v>88</v>
      </c>
      <c r="B48" s="92"/>
      <c r="C48" s="91"/>
      <c r="F48" s="331"/>
      <c r="G48" s="50">
        <v>45</v>
      </c>
      <c r="H48" s="60" t="str">
        <f>IF('Jmený seznam'!D49,'Jmený seznam'!E49)</f>
        <v>Nusko Petr</v>
      </c>
      <c r="I48" s="51" t="s">
        <v>20</v>
      </c>
      <c r="J48" s="52">
        <v>94</v>
      </c>
      <c r="K48" s="52">
        <v>39</v>
      </c>
      <c r="L48" s="52">
        <v>18</v>
      </c>
      <c r="M48" s="52">
        <v>19</v>
      </c>
      <c r="N48" s="52">
        <f t="shared" si="8"/>
        <v>170</v>
      </c>
      <c r="O48" s="53">
        <f>N48</f>
        <v>170</v>
      </c>
      <c r="P48" s="79"/>
      <c r="Q48" s="79"/>
      <c r="R48" s="54">
        <f t="shared" si="1"/>
        <v>16</v>
      </c>
      <c r="S48" s="54">
        <f>COUNTIF($R$4:$R$51,R48)</f>
        <v>1</v>
      </c>
      <c r="T48" s="54"/>
      <c r="U48" s="54"/>
      <c r="V48" s="54"/>
      <c r="W48" s="54"/>
      <c r="X48" s="84">
        <f t="shared" si="2"/>
        <v>76</v>
      </c>
      <c r="Y48" s="84"/>
      <c r="Z48" s="84"/>
      <c r="AA48" s="90">
        <f>RANK(X48,$X$4:$X$51,1)</f>
        <v>14</v>
      </c>
      <c r="AB48" s="90"/>
      <c r="AC48" s="90"/>
      <c r="AD48" s="90">
        <f t="shared" si="6"/>
        <v>170.00014</v>
      </c>
      <c r="AE48" s="90"/>
      <c r="AF48" s="90"/>
      <c r="AG48" s="95">
        <f t="shared" si="3"/>
        <v>17</v>
      </c>
      <c r="AH48" s="95">
        <f>COUNTIF($AG$4:$AG$51,AG48)</f>
        <v>1</v>
      </c>
      <c r="AI48" s="95"/>
      <c r="AJ48" s="95"/>
      <c r="AK48" s="95"/>
      <c r="AL48" s="95"/>
      <c r="AM48" s="104">
        <f t="shared" si="4"/>
        <v>39</v>
      </c>
      <c r="AN48" s="104"/>
      <c r="AO48" s="104"/>
      <c r="AP48" s="108">
        <f>RANK(AM48,$AM$4:$AM$51,1)</f>
        <v>28</v>
      </c>
      <c r="AQ48" s="108"/>
      <c r="AR48" s="108"/>
      <c r="AS48" s="108">
        <f t="shared" si="7"/>
        <v>170.00042</v>
      </c>
      <c r="AT48" s="108"/>
      <c r="AU48" s="108"/>
      <c r="AV48" s="104">
        <f>RANK(AS48,$AS$4:$AS$51,0)</f>
        <v>16</v>
      </c>
      <c r="AW48" s="104"/>
      <c r="AX48" s="104"/>
      <c r="AY48" s="131">
        <f>IF(S48=1,R48,IF(AH48=1,AG48,AV48))</f>
        <v>16</v>
      </c>
      <c r="AZ48" s="325"/>
      <c r="BA48" s="322"/>
    </row>
    <row r="49" spans="1:53" ht="14.25" customHeight="1">
      <c r="A49" s="91">
        <v>90</v>
      </c>
      <c r="B49" s="92"/>
      <c r="C49" s="91"/>
      <c r="F49" s="331"/>
      <c r="G49" s="50">
        <v>46</v>
      </c>
      <c r="H49" s="60" t="str">
        <f>IF('Jmený seznam'!D50,'Jmený seznam'!E50)</f>
        <v>Benešová Karolína</v>
      </c>
      <c r="I49" s="51" t="s">
        <v>20</v>
      </c>
      <c r="J49" s="52">
        <v>96</v>
      </c>
      <c r="K49" s="52">
        <v>23</v>
      </c>
      <c r="L49" s="52">
        <v>18</v>
      </c>
      <c r="M49" s="52">
        <v>28</v>
      </c>
      <c r="N49" s="52">
        <f t="shared" si="8"/>
        <v>165</v>
      </c>
      <c r="O49" s="53">
        <f>N49</f>
        <v>165</v>
      </c>
      <c r="P49" s="79"/>
      <c r="Q49" s="79"/>
      <c r="R49" s="54">
        <f t="shared" si="1"/>
        <v>19</v>
      </c>
      <c r="S49" s="54">
        <f>COUNTIF($R$4:$R$51,R49)</f>
        <v>1</v>
      </c>
      <c r="T49" s="54"/>
      <c r="U49" s="54"/>
      <c r="V49" s="54"/>
      <c r="W49" s="54"/>
      <c r="X49" s="84">
        <f t="shared" si="2"/>
        <v>69</v>
      </c>
      <c r="Y49" s="84"/>
      <c r="Z49" s="84"/>
      <c r="AA49" s="90">
        <f>RANK(X49,$X$4:$X$51,1)</f>
        <v>10</v>
      </c>
      <c r="AB49" s="90"/>
      <c r="AC49" s="90"/>
      <c r="AD49" s="90">
        <f t="shared" si="6"/>
        <v>165.0001</v>
      </c>
      <c r="AE49" s="90"/>
      <c r="AF49" s="90"/>
      <c r="AG49" s="95">
        <f t="shared" si="3"/>
        <v>20</v>
      </c>
      <c r="AH49" s="95">
        <f>COUNTIF($AG$4:$AG$51,AG49)</f>
        <v>1</v>
      </c>
      <c r="AI49" s="95"/>
      <c r="AJ49" s="95"/>
      <c r="AK49" s="95"/>
      <c r="AL49" s="95"/>
      <c r="AM49" s="104">
        <f t="shared" si="4"/>
        <v>23</v>
      </c>
      <c r="AN49" s="104"/>
      <c r="AO49" s="104"/>
      <c r="AP49" s="108">
        <f>RANK(AM49,$AM$4:$AM$51,1)</f>
        <v>1</v>
      </c>
      <c r="AQ49" s="108"/>
      <c r="AR49" s="108"/>
      <c r="AS49" s="108">
        <f t="shared" si="7"/>
        <v>165.00011</v>
      </c>
      <c r="AT49" s="108"/>
      <c r="AU49" s="108"/>
      <c r="AV49" s="104">
        <f>RANK(AS49,$AS$4:$AS$51,0)</f>
        <v>19</v>
      </c>
      <c r="AW49" s="104"/>
      <c r="AX49" s="104"/>
      <c r="AY49" s="247">
        <f>IF(S49=1,R49,IF(AH49=1,AG49,AV49))</f>
        <v>19</v>
      </c>
      <c r="AZ49" s="325"/>
      <c r="BA49" s="322"/>
    </row>
    <row r="50" spans="1:53" ht="14.25" customHeight="1">
      <c r="A50" s="91">
        <v>92</v>
      </c>
      <c r="B50" s="91"/>
      <c r="C50" s="91"/>
      <c r="F50" s="331"/>
      <c r="G50" s="50">
        <v>47</v>
      </c>
      <c r="H50" s="60" t="str">
        <f>IF('Jmený seznam'!D51,'Jmený seznam'!E51)</f>
        <v>Tomšíková Veronika</v>
      </c>
      <c r="I50" s="51" t="s">
        <v>24</v>
      </c>
      <c r="J50" s="52">
        <v>98</v>
      </c>
      <c r="K50" s="52">
        <v>32</v>
      </c>
      <c r="L50" s="52">
        <v>26</v>
      </c>
      <c r="M50" s="52">
        <v>26</v>
      </c>
      <c r="N50" s="52">
        <f t="shared" si="8"/>
        <v>182</v>
      </c>
      <c r="O50" s="79"/>
      <c r="P50" s="53">
        <f>N50</f>
        <v>182</v>
      </c>
      <c r="Q50" s="79"/>
      <c r="R50" s="54"/>
      <c r="S50" s="54"/>
      <c r="T50" s="54">
        <f>RANK(P50,$P$4:$P$51,0)</f>
        <v>5</v>
      </c>
      <c r="U50" s="54">
        <f>COUNTIF($T$4:$T$51,T50)</f>
        <v>1</v>
      </c>
      <c r="V50" s="54"/>
      <c r="W50" s="54"/>
      <c r="X50" s="84"/>
      <c r="Y50" s="84">
        <f>SUM(K50,L50,M50)</f>
        <v>84</v>
      </c>
      <c r="Z50" s="84"/>
      <c r="AA50" s="90"/>
      <c r="AB50" s="90">
        <f>RANK(Y50,$Y$4:$Y$51,1)</f>
        <v>4</v>
      </c>
      <c r="AC50" s="90"/>
      <c r="AD50" s="90"/>
      <c r="AE50" s="90">
        <f>N50+(AB50/100000)</f>
        <v>182.00004</v>
      </c>
      <c r="AF50" s="90"/>
      <c r="AG50" s="95"/>
      <c r="AH50" s="95"/>
      <c r="AI50" s="95">
        <f>RANK(AE50,$AE$4:$AE$51,0)</f>
        <v>5</v>
      </c>
      <c r="AJ50" s="95">
        <f>COUNTIF($AI$4:$AI$51,AI50)</f>
        <v>1</v>
      </c>
      <c r="AK50" s="95"/>
      <c r="AL50" s="95"/>
      <c r="AM50" s="104"/>
      <c r="AN50" s="104">
        <f>K50</f>
        <v>32</v>
      </c>
      <c r="AO50" s="104"/>
      <c r="AP50" s="108"/>
      <c r="AQ50" s="108">
        <f>RANK(AN50,$AN$4:$AN$51,1)</f>
        <v>4</v>
      </c>
      <c r="AR50" s="108"/>
      <c r="AS50" s="108"/>
      <c r="AT50" s="108">
        <f>(N50+(AB50/100000))-N50+(N50+(AQ50/100000))</f>
        <v>182.00008000000003</v>
      </c>
      <c r="AU50" s="108"/>
      <c r="AV50" s="104"/>
      <c r="AW50" s="104">
        <f>RANK(AT50,$AT$4:$AT$51,0)</f>
        <v>5</v>
      </c>
      <c r="AX50" s="104"/>
      <c r="AY50" s="131">
        <f>IF(U50=1,T50,IF(AJ50=1,AI50,AW50))</f>
        <v>5</v>
      </c>
      <c r="AZ50" s="325"/>
      <c r="BA50" s="322"/>
    </row>
    <row r="51" spans="1:56" ht="14.25" customHeight="1" thickBot="1">
      <c r="A51" s="91">
        <v>94</v>
      </c>
      <c r="B51" s="91"/>
      <c r="C51" s="91"/>
      <c r="F51" s="332"/>
      <c r="G51" s="26">
        <v>48</v>
      </c>
      <c r="H51" s="61" t="str">
        <f>IF('Jmený seznam'!D52,'Jmený seznam'!E52)</f>
        <v>Sepekář Milan</v>
      </c>
      <c r="I51" s="62" t="s">
        <v>26</v>
      </c>
      <c r="J51" s="63">
        <v>98</v>
      </c>
      <c r="K51" s="63">
        <v>37</v>
      </c>
      <c r="L51" s="63">
        <v>22</v>
      </c>
      <c r="M51" s="63">
        <v>23</v>
      </c>
      <c r="N51" s="63">
        <f t="shared" si="8"/>
        <v>180</v>
      </c>
      <c r="O51" s="80"/>
      <c r="P51" s="80"/>
      <c r="Q51" s="64">
        <f>N51</f>
        <v>180</v>
      </c>
      <c r="R51" s="65"/>
      <c r="S51" s="65"/>
      <c r="T51" s="65"/>
      <c r="U51" s="65"/>
      <c r="V51" s="65">
        <f>RANK(Q51,$Q$4:$Q$51,0)</f>
        <v>5</v>
      </c>
      <c r="W51" s="65">
        <f>COUNTIF($V$4:$V$51,V51)</f>
        <v>1</v>
      </c>
      <c r="X51" s="85"/>
      <c r="Y51" s="85"/>
      <c r="Z51" s="85">
        <f>SUM(K51,L51,M51)</f>
        <v>82</v>
      </c>
      <c r="AA51" s="96"/>
      <c r="AB51" s="96"/>
      <c r="AC51" s="96">
        <f>RANK(Z51,$Z$4:$Z$51,1)</f>
        <v>2</v>
      </c>
      <c r="AD51" s="96"/>
      <c r="AE51" s="96"/>
      <c r="AF51" s="96">
        <f>N51+(AC51/100000)</f>
        <v>180.00002</v>
      </c>
      <c r="AG51" s="97"/>
      <c r="AH51" s="97"/>
      <c r="AI51" s="97"/>
      <c r="AJ51" s="97"/>
      <c r="AK51" s="97">
        <f>RANK(AF51,$AF$4:$AF$51,0)</f>
        <v>5</v>
      </c>
      <c r="AL51" s="97">
        <f>COUNTIF($AK$4:$AK$51,AK51)</f>
        <v>1</v>
      </c>
      <c r="AM51" s="106"/>
      <c r="AN51" s="106"/>
      <c r="AO51" s="106">
        <f>K51</f>
        <v>37</v>
      </c>
      <c r="AP51" s="110"/>
      <c r="AQ51" s="110"/>
      <c r="AR51" s="110">
        <f>RANK(AO51,$AO$4:$AO$51,1)</f>
        <v>6</v>
      </c>
      <c r="AS51" s="110"/>
      <c r="AT51" s="110"/>
      <c r="AU51" s="110">
        <f>(N51+(AC51/100000))-N51+(N51+(AR51/100000))</f>
        <v>180.00008</v>
      </c>
      <c r="AV51" s="106"/>
      <c r="AW51" s="106"/>
      <c r="AX51" s="106">
        <f>RANK(AU51,$AU$4:$AU$51,0)</f>
        <v>5</v>
      </c>
      <c r="AY51" s="136">
        <f>IF(W51=1,V51,IF(AL51=1,AK51,AX51))</f>
        <v>5</v>
      </c>
      <c r="AZ51" s="334"/>
      <c r="BA51" s="335"/>
      <c r="BD51" s="207"/>
    </row>
    <row r="52" spans="1:53" ht="14.25" customHeight="1">
      <c r="A52" s="91">
        <v>96</v>
      </c>
      <c r="B52" s="91"/>
      <c r="C52" s="91"/>
      <c r="BA52" s="91">
        <f>SUM(BA4:BA51)</f>
        <v>36</v>
      </c>
    </row>
    <row r="53" spans="1:3" ht="14.25" customHeight="1">
      <c r="A53" s="91">
        <v>98</v>
      </c>
      <c r="B53" s="91"/>
      <c r="C53" s="91"/>
    </row>
    <row r="54" spans="1:3" ht="14.25" customHeight="1">
      <c r="A54" s="91">
        <v>100</v>
      </c>
      <c r="B54" s="91"/>
      <c r="C54" s="91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</sheetData>
  <sheetProtection/>
  <mergeCells count="26">
    <mergeCell ref="F40:F45"/>
    <mergeCell ref="AZ40:AZ45"/>
    <mergeCell ref="BA40:BA45"/>
    <mergeCell ref="F46:F51"/>
    <mergeCell ref="AZ46:AZ51"/>
    <mergeCell ref="BA46:BA51"/>
    <mergeCell ref="F28:F33"/>
    <mergeCell ref="AZ28:AZ33"/>
    <mergeCell ref="BA28:BA33"/>
    <mergeCell ref="F34:F39"/>
    <mergeCell ref="AZ34:AZ39"/>
    <mergeCell ref="BA34:BA39"/>
    <mergeCell ref="E1:BA1"/>
    <mergeCell ref="BA16:BA21"/>
    <mergeCell ref="BA22:BA27"/>
    <mergeCell ref="AZ16:AZ21"/>
    <mergeCell ref="AZ22:AZ27"/>
    <mergeCell ref="AZ10:AZ15"/>
    <mergeCell ref="BA10:BA15"/>
    <mergeCell ref="F2:BA2"/>
    <mergeCell ref="F4:F9"/>
    <mergeCell ref="AZ4:AZ9"/>
    <mergeCell ref="BA4:BA9"/>
    <mergeCell ref="F10:F15"/>
    <mergeCell ref="F22:F27"/>
    <mergeCell ref="F16:F21"/>
  </mergeCells>
  <conditionalFormatting sqref="AY4:AY51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dataValidations count="3">
    <dataValidation type="list" showDropDown="1" showErrorMessage="1" prompt="Chyba - Zadané hodnoty musí být v rozsahu 0 až 100." errorTitle="Pozor" error="chyba: hodnoty musí nabývat 0-100 bodů ( každá správná odpověď = 2 body )" sqref="J4:J51">
      <formula1>$A$4:$A$54</formula1>
    </dataValidation>
    <dataValidation type="list" allowBlank="1" showDropDown="1" showErrorMessage="1" prompt="Chyba - Zadané hodnoty musí být v rozsahu 0 až 30." errorTitle="Pozor" error="chyba: hodnoty musí nabývat 0-30 (každá správná odpověď = max 2 body)" sqref="L4:M51">
      <formula1>$C$4:$C$34</formula1>
    </dataValidation>
    <dataValidation type="list" allowBlank="1" showDropDown="1" showErrorMessage="1" prompt="Chyba - Zadané hodnoty musí být v rozsahu 0 až 40." errorTitle="Pozor" error="chyba: hodnoty musí nabývat 0-40 (každá správná odpověď = max 2 body)" sqref="K4:K51">
      <formula1>$B$4:$B$44</formula1>
    </dataValidation>
  </dataValidations>
  <printOptions/>
  <pageMargins left="0.7" right="0.7" top="0.787401575" bottom="0.51" header="0" footer="0"/>
  <pageSetup horizontalDpi="600" verticalDpi="600" orientation="portrait" paperSize="9" r:id="rId1"/>
  <ignoredErrors>
    <ignoredError sqref="AG5:AG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8"/>
  <sheetViews>
    <sheetView view="pageBreakPreview" zoomScale="90" zoomScaleSheetLayoutView="90" zoomScalePageLayoutView="0" workbookViewId="0" topLeftCell="A1">
      <selection activeCell="AY5" sqref="AY5:AY10"/>
    </sheetView>
  </sheetViews>
  <sheetFormatPr defaultColWidth="14.421875" defaultRowHeight="15" customHeight="1"/>
  <cols>
    <col min="1" max="3" width="0.85546875" style="44" customWidth="1"/>
    <col min="4" max="4" width="4.28125" style="0" customWidth="1"/>
    <col min="5" max="5" width="3.28125" style="0" customWidth="1"/>
    <col min="6" max="6" width="20.7109375" style="0" customWidth="1"/>
    <col min="7" max="7" width="4.8515625" style="0" hidden="1" customWidth="1"/>
    <col min="8" max="8" width="4.57421875" style="0" customWidth="1"/>
    <col min="9" max="10" width="3.28125" style="0" customWidth="1"/>
    <col min="11" max="11" width="5.7109375" style="0" customWidth="1"/>
    <col min="12" max="17" width="5.7109375" style="0" hidden="1" customWidth="1"/>
    <col min="18" max="23" width="3.28125" style="0" hidden="1" customWidth="1"/>
    <col min="24" max="24" width="7.28125" style="0" customWidth="1"/>
    <col min="25" max="26" width="3.28125" style="0" customWidth="1"/>
    <col min="27" max="27" width="5.7109375" style="0" customWidth="1"/>
    <col min="28" max="33" width="5.7109375" style="0" hidden="1" customWidth="1"/>
    <col min="34" max="39" width="3.8515625" style="0" hidden="1" customWidth="1"/>
    <col min="40" max="40" width="7.28125" style="0" customWidth="1"/>
    <col min="41" max="41" width="6.28125" style="0" customWidth="1"/>
    <col min="42" max="42" width="4.28125" style="0" customWidth="1"/>
    <col min="43" max="48" width="6.8515625" style="0" hidden="1" customWidth="1"/>
    <col min="49" max="49" width="5.7109375" style="0" customWidth="1"/>
    <col min="50" max="50" width="4.28125" style="0" customWidth="1"/>
    <col min="51" max="51" width="4.140625" style="0" customWidth="1"/>
    <col min="52" max="52" width="4.28125" style="0" customWidth="1"/>
    <col min="53" max="60" width="8.7109375" style="0" customWidth="1"/>
  </cols>
  <sheetData>
    <row r="1" spans="4:52" s="44" customFormat="1" ht="22.5" customHeight="1" thickBot="1">
      <c r="D1" s="354" t="s">
        <v>66</v>
      </c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5"/>
      <c r="AY1" s="355"/>
      <c r="AZ1" s="355"/>
    </row>
    <row r="2" spans="4:52" ht="14.25" customHeight="1">
      <c r="D2" s="356" t="s">
        <v>0</v>
      </c>
      <c r="E2" s="2"/>
      <c r="F2" s="3"/>
      <c r="G2" s="4"/>
      <c r="H2" s="4"/>
      <c r="I2" s="350" t="s">
        <v>11</v>
      </c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50" t="s">
        <v>18</v>
      </c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39" t="s">
        <v>19</v>
      </c>
      <c r="AP2" s="340"/>
      <c r="AQ2" s="340"/>
      <c r="AR2" s="340"/>
      <c r="AS2" s="340"/>
      <c r="AT2" s="340"/>
      <c r="AU2" s="340"/>
      <c r="AV2" s="340"/>
      <c r="AW2" s="341"/>
      <c r="AX2" s="358" t="s">
        <v>21</v>
      </c>
      <c r="AY2" s="359"/>
      <c r="AZ2" s="360"/>
    </row>
    <row r="3" spans="2:52" ht="14.25" customHeight="1">
      <c r="B3" s="207"/>
      <c r="D3" s="357"/>
      <c r="E3" s="304" t="s">
        <v>6</v>
      </c>
      <c r="F3" s="361" t="s">
        <v>15</v>
      </c>
      <c r="G3" s="9"/>
      <c r="H3" s="348" t="s">
        <v>17</v>
      </c>
      <c r="I3" s="351" t="s">
        <v>22</v>
      </c>
      <c r="J3" s="352"/>
      <c r="K3" s="353" t="s">
        <v>25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351" t="s">
        <v>22</v>
      </c>
      <c r="Z3" s="352"/>
      <c r="AA3" s="353" t="s">
        <v>25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36" t="s">
        <v>25</v>
      </c>
      <c r="AP3" s="337" t="s">
        <v>14</v>
      </c>
      <c r="AQ3" s="17"/>
      <c r="AR3" s="18"/>
      <c r="AS3" s="18"/>
      <c r="AT3" s="18"/>
      <c r="AU3" s="18"/>
      <c r="AV3" s="18"/>
      <c r="AW3" s="346" t="s">
        <v>13</v>
      </c>
      <c r="AX3" s="342" t="s">
        <v>25</v>
      </c>
      <c r="AY3" s="337" t="s">
        <v>14</v>
      </c>
      <c r="AZ3" s="343" t="s">
        <v>13</v>
      </c>
    </row>
    <row r="4" spans="1:52" ht="21.75" customHeight="1" thickBot="1">
      <c r="A4" s="275"/>
      <c r="B4" s="207"/>
      <c r="C4" s="207"/>
      <c r="D4" s="357"/>
      <c r="E4" s="305"/>
      <c r="F4" s="338"/>
      <c r="G4" s="214" t="s">
        <v>145</v>
      </c>
      <c r="H4" s="349"/>
      <c r="I4" s="20" t="s">
        <v>28</v>
      </c>
      <c r="J4" s="23" t="s">
        <v>29</v>
      </c>
      <c r="K4" s="338"/>
      <c r="L4" s="215" t="s">
        <v>31</v>
      </c>
      <c r="M4" s="215" t="s">
        <v>32</v>
      </c>
      <c r="N4" s="215" t="s">
        <v>33</v>
      </c>
      <c r="O4" s="215" t="s">
        <v>34</v>
      </c>
      <c r="P4" s="215" t="s">
        <v>35</v>
      </c>
      <c r="Q4" s="215" t="s">
        <v>36</v>
      </c>
      <c r="R4" s="216" t="s">
        <v>146</v>
      </c>
      <c r="S4" s="216" t="s">
        <v>147</v>
      </c>
      <c r="T4" s="216" t="s">
        <v>148</v>
      </c>
      <c r="U4" s="216" t="s">
        <v>144</v>
      </c>
      <c r="V4" s="216" t="s">
        <v>149</v>
      </c>
      <c r="W4" s="216" t="s">
        <v>150</v>
      </c>
      <c r="X4" s="216" t="s">
        <v>45</v>
      </c>
      <c r="Y4" s="20" t="s">
        <v>28</v>
      </c>
      <c r="Z4" s="23" t="s">
        <v>29</v>
      </c>
      <c r="AA4" s="338"/>
      <c r="AB4" s="24" t="s">
        <v>31</v>
      </c>
      <c r="AC4" s="24" t="s">
        <v>32</v>
      </c>
      <c r="AD4" s="24" t="s">
        <v>33</v>
      </c>
      <c r="AE4" s="24" t="s">
        <v>34</v>
      </c>
      <c r="AF4" s="24" t="s">
        <v>35</v>
      </c>
      <c r="AG4" s="24" t="s">
        <v>36</v>
      </c>
      <c r="AH4" s="214" t="s">
        <v>146</v>
      </c>
      <c r="AI4" s="214" t="s">
        <v>147</v>
      </c>
      <c r="AJ4" s="214" t="s">
        <v>148</v>
      </c>
      <c r="AK4" s="214" t="s">
        <v>144</v>
      </c>
      <c r="AL4" s="214" t="s">
        <v>149</v>
      </c>
      <c r="AM4" s="214" t="s">
        <v>150</v>
      </c>
      <c r="AN4" s="214" t="s">
        <v>45</v>
      </c>
      <c r="AO4" s="331"/>
      <c r="AP4" s="338"/>
      <c r="AQ4" s="217" t="s">
        <v>20</v>
      </c>
      <c r="AR4" s="216" t="s">
        <v>24</v>
      </c>
      <c r="AS4" s="216" t="s">
        <v>26</v>
      </c>
      <c r="AT4" s="223" t="s">
        <v>151</v>
      </c>
      <c r="AU4" s="223" t="s">
        <v>153</v>
      </c>
      <c r="AV4" s="223" t="s">
        <v>152</v>
      </c>
      <c r="AW4" s="347"/>
      <c r="AX4" s="308"/>
      <c r="AY4" s="338"/>
      <c r="AZ4" s="344"/>
    </row>
    <row r="5" spans="1:52" ht="15" customHeight="1">
      <c r="A5" s="91" t="s">
        <v>32</v>
      </c>
      <c r="B5" s="91">
        <v>1</v>
      </c>
      <c r="C5" s="207"/>
      <c r="D5" s="333" t="str">
        <f>IF('Jmený seznam'!D5,'Jmený seznam'!C5)</f>
        <v>Město Praha</v>
      </c>
      <c r="E5" s="67">
        <v>1</v>
      </c>
      <c r="F5" s="132" t="str">
        <f>IF('Jmený seznam'!D5,'Jmený seznam'!E5)</f>
        <v>Hurníková Martina</v>
      </c>
      <c r="G5" s="187" t="str">
        <f aca="true" t="shared" si="0" ref="G5:G28">IF(ISBLANK(F5),"P","N")</f>
        <v>N</v>
      </c>
      <c r="H5" s="189" t="s">
        <v>20</v>
      </c>
      <c r="I5" s="265" t="s">
        <v>33</v>
      </c>
      <c r="J5" s="57">
        <v>2</v>
      </c>
      <c r="K5" s="218">
        <v>40</v>
      </c>
      <c r="L5" s="194" t="str">
        <f>IF(I5="A",K5,"N")</f>
        <v>N</v>
      </c>
      <c r="M5" s="194" t="str">
        <f aca="true" t="shared" si="1" ref="M5:M28">IF(I5="B",K5,"N")</f>
        <v>N</v>
      </c>
      <c r="N5" s="194">
        <f aca="true" t="shared" si="2" ref="N5:N28">IF(I5="C",K5,"N")</f>
        <v>40</v>
      </c>
      <c r="O5" s="194" t="str">
        <f aca="true" t="shared" si="3" ref="O5:O28">IF(I5="D",K5,"N")</f>
        <v>N</v>
      </c>
      <c r="P5" s="194" t="str">
        <f aca="true" t="shared" si="4" ref="P5:P28">IF(I5="E",K5,"N")</f>
        <v>N</v>
      </c>
      <c r="Q5" s="194" t="str">
        <f aca="true" t="shared" si="5" ref="Q5:Q28">IF(I5="F",K5,"N")</f>
        <v>N</v>
      </c>
      <c r="R5" s="213" t="e">
        <f>IF(G5="N",IF(L5=0,$G$58,RANK(L5,$L$5:$L$52,0)),$G$58+1)</f>
        <v>#VALUE!</v>
      </c>
      <c r="S5" s="213" t="e">
        <f>IF(G5="N",IF(M5=0,$G$58,RANK(M5,$M$5:$M$52,0)),$G$58+1)</f>
        <v>#VALUE!</v>
      </c>
      <c r="T5" s="213">
        <f>IF(G5="N",IF(N5=0,$G$58,RANK(N5,$N$5:$N$52,0)),$G$58+1)</f>
        <v>7</v>
      </c>
      <c r="U5" s="213" t="e">
        <f>IF(G5="N",IF(O5=0,$G$58,RANK(O5,$O$5:$O$52,0)),$G$58+1)</f>
        <v>#VALUE!</v>
      </c>
      <c r="V5" s="213" t="e">
        <f>IF(G5="N",IF(P5=0,$G$58,RANK(P5,$P$5:$P$52,0)),$G$58+1)</f>
        <v>#VALUE!</v>
      </c>
      <c r="W5" s="213" t="e">
        <f>IF(G5="N",IF(Q5=0,$G$58,RANK(Q5,$Q$5:$Q$52,0)),$G$58+1)</f>
        <v>#VALUE!</v>
      </c>
      <c r="X5" s="233">
        <f>IF(ISNUMBER(R5),R5,IF(ISNUMBER(S5),S5,IF(ISNUMBER(T5),T5,IF(ISNUMBER(U5),U5,IF(ISNUMBER(V5),V5,IF(ISNUMBER(W5),W5,"ERROR"))))))</f>
        <v>7</v>
      </c>
      <c r="Y5" s="265" t="s">
        <v>31</v>
      </c>
      <c r="Z5" s="57">
        <v>8</v>
      </c>
      <c r="AA5" s="218">
        <v>340</v>
      </c>
      <c r="AB5" s="194">
        <f>IF(Y5="A",AA5,"N")</f>
        <v>340</v>
      </c>
      <c r="AC5" s="194" t="str">
        <f aca="true" t="shared" si="6" ref="AC5:AC28">IF(Y5="B",AA5,"N")</f>
        <v>N</v>
      </c>
      <c r="AD5" s="194" t="str">
        <f aca="true" t="shared" si="7" ref="AD5:AD28">IF(Y5="C",AA5,"N")</f>
        <v>N</v>
      </c>
      <c r="AE5" s="194" t="str">
        <f aca="true" t="shared" si="8" ref="AE5:AE28">IF(Y5="D",AA5,"N")</f>
        <v>N</v>
      </c>
      <c r="AF5" s="194" t="str">
        <f aca="true" t="shared" si="9" ref="AF5:AF28">IF(Y5="E",AA5,"N")</f>
        <v>N</v>
      </c>
      <c r="AG5" s="194" t="str">
        <f aca="true" t="shared" si="10" ref="AG5:AG28">IF(Y5="F",AA5,"N")</f>
        <v>N</v>
      </c>
      <c r="AH5" s="213">
        <f>IF(G5="N",IF(AB5=0,$G$58,RANK(AB5,$AB$5:$AB$52,0)),$G$58+1)</f>
        <v>5</v>
      </c>
      <c r="AI5" s="213" t="e">
        <f>IF(G5="N",IF(AC5=0,$G$58,RANK(AC5,$AC$5:$AC$52,0)),$G$58+1)</f>
        <v>#VALUE!</v>
      </c>
      <c r="AJ5" s="213" t="e">
        <f>IF(G5="N",IF(AD5=0,$G$58,RANK(AD5,$AD$5:$AD$52,0)),$G$58+1)</f>
        <v>#VALUE!</v>
      </c>
      <c r="AK5" s="213" t="e">
        <f>IF(G5="N",IF(AE5=0,$G$58,RANK(AE5,$AE$5:$AE$52,0)),$G$58+1)</f>
        <v>#VALUE!</v>
      </c>
      <c r="AL5" s="213" t="e">
        <f>IF(G5="N",IF(AF5=0,$G$58,RANK(AF5,$AF$5:$AF$52,0)),$G$58+1)</f>
        <v>#VALUE!</v>
      </c>
      <c r="AM5" s="213" t="e">
        <f>IF(G5="N",IF(AG5=0,$G$58,RANK(AG5,$AG$5:$AG$52,0)),$G$58+1)</f>
        <v>#VALUE!</v>
      </c>
      <c r="AN5" s="237">
        <f aca="true" t="shared" si="11" ref="AN5:AN28">IF(ISNUMBER(AH5),AH5,IF(ISNUMBER(AI5),AI5,IF(ISNUMBER(AJ5),AJ5,IF(ISNUMBER(AK5),AK5,IF(ISNUMBER(AL5),AL5,IF(ISNUMBER(AM5),AM5,"ERROR"))))))</f>
        <v>5</v>
      </c>
      <c r="AO5" s="200">
        <f aca="true" t="shared" si="12" ref="AO5:AO28">K5+AA5</f>
        <v>380</v>
      </c>
      <c r="AP5" s="57">
        <f>X5+AN5</f>
        <v>12</v>
      </c>
      <c r="AQ5" s="198">
        <f>AP5+(((100000-AO5)/10000000))</f>
        <v>12.009962</v>
      </c>
      <c r="AR5" s="198"/>
      <c r="AS5" s="198"/>
      <c r="AT5" s="226">
        <f>IF(G5="N",RANK(AQ5,$AQ$5:$AQ52,1),$G$58*4+1)</f>
        <v>25</v>
      </c>
      <c r="AU5" s="226"/>
      <c r="AV5" s="226"/>
      <c r="AW5" s="260">
        <f>AT5</f>
        <v>25</v>
      </c>
      <c r="AX5" s="327">
        <f>SUM(AO5:AO10)</f>
        <v>9275</v>
      </c>
      <c r="AY5" s="324">
        <f>SUM(AP5:AP10)</f>
        <v>59</v>
      </c>
      <c r="AZ5" s="321">
        <f>RANK(AY5,$AY$5:$AY$52,1)</f>
        <v>5</v>
      </c>
    </row>
    <row r="6" spans="1:52" ht="14.25" customHeight="1">
      <c r="A6" s="91" t="s">
        <v>33</v>
      </c>
      <c r="B6" s="91">
        <v>2</v>
      </c>
      <c r="C6" s="207"/>
      <c r="D6" s="331"/>
      <c r="E6" s="28">
        <v>2</v>
      </c>
      <c r="F6" s="133" t="str">
        <f>IF('Jmený seznam'!D6,'Jmený seznam'!E6)</f>
        <v>Hurníková Markéta</v>
      </c>
      <c r="G6" s="186" t="str">
        <f t="shared" si="0"/>
        <v>N</v>
      </c>
      <c r="H6" s="190" t="s">
        <v>20</v>
      </c>
      <c r="I6" s="266" t="s">
        <v>32</v>
      </c>
      <c r="J6" s="52">
        <v>2</v>
      </c>
      <c r="K6" s="219">
        <v>520</v>
      </c>
      <c r="L6" s="192" t="str">
        <f aca="true" t="shared" si="13" ref="L6:L28">IF(I6="A",K6,"N")</f>
        <v>N</v>
      </c>
      <c r="M6" s="192">
        <f t="shared" si="1"/>
        <v>520</v>
      </c>
      <c r="N6" s="192" t="str">
        <f t="shared" si="2"/>
        <v>N</v>
      </c>
      <c r="O6" s="192" t="str">
        <f t="shared" si="3"/>
        <v>N</v>
      </c>
      <c r="P6" s="192" t="str">
        <f t="shared" si="4"/>
        <v>N</v>
      </c>
      <c r="Q6" s="192" t="str">
        <f t="shared" si="5"/>
        <v>N</v>
      </c>
      <c r="R6" s="193" t="e">
        <f>IF(G6="N",IF(L6=0,$G$58,RANK(L6,$L$5:$L$52,0)),$G$58+1)</f>
        <v>#VALUE!</v>
      </c>
      <c r="S6" s="193">
        <f>IF(G6="N",IF(M6=0,$G$58,RANK(M6,$M$5:$M$52,0)),$G$58+1)</f>
        <v>7</v>
      </c>
      <c r="T6" s="193" t="e">
        <f>IF(G6="N",IF(N6=0,$G$58,RANK(N6,$N$5:$N$52,0)),$G$58+1)</f>
        <v>#VALUE!</v>
      </c>
      <c r="U6" s="193" t="e">
        <f>IF(G6="N",IF(O6=0,$G$58,RANK(O6,$O$5:$O$52,0)),$G$58+1)</f>
        <v>#VALUE!</v>
      </c>
      <c r="V6" s="193" t="e">
        <f>IF(G6="N",IF(P6=0,$G$58,RANK(P6,$P$5:$P$52,0)),$G$58+1)</f>
        <v>#VALUE!</v>
      </c>
      <c r="W6" s="193" t="e">
        <f>IF(G6="N",IF(Q6=0,$G$58,RANK(Q6,$Q$5:$Q$52,0)),$G$58+1)</f>
        <v>#VALUE!</v>
      </c>
      <c r="X6" s="234">
        <f aca="true" t="shared" si="14" ref="X6:X28">IF(ISNUMBER(R6),R6,IF(ISNUMBER(S6),S6,IF(ISNUMBER(T6),T6,IF(ISNUMBER(U6),U6,IF(ISNUMBER(V6),V6,IF(ISNUMBER(W6),W6,"ERROR"))))))</f>
        <v>7</v>
      </c>
      <c r="Y6" s="266" t="s">
        <v>33</v>
      </c>
      <c r="Z6" s="52">
        <v>8</v>
      </c>
      <c r="AA6" s="219">
        <v>290</v>
      </c>
      <c r="AB6" s="192" t="str">
        <f aca="true" t="shared" si="15" ref="AB6:AB28">IF(Y6="A",AA6,"N")</f>
        <v>N</v>
      </c>
      <c r="AC6" s="192" t="str">
        <f t="shared" si="6"/>
        <v>N</v>
      </c>
      <c r="AD6" s="192">
        <f t="shared" si="7"/>
        <v>290</v>
      </c>
      <c r="AE6" s="192" t="str">
        <f t="shared" si="8"/>
        <v>N</v>
      </c>
      <c r="AF6" s="192" t="str">
        <f t="shared" si="9"/>
        <v>N</v>
      </c>
      <c r="AG6" s="192" t="str">
        <f t="shared" si="10"/>
        <v>N</v>
      </c>
      <c r="AH6" s="193" t="e">
        <f>IF(G6="N",IF(AB6=0,$G$58,RANK(AB6,$AB$5:$AB$52,0)),$G$58+1)</f>
        <v>#VALUE!</v>
      </c>
      <c r="AI6" s="193" t="e">
        <f>IF(G6="N",IF(AC6=0,$G$58,RANK(AC6,$AC$5:$AC$52,0)),$G$58+1)</f>
        <v>#VALUE!</v>
      </c>
      <c r="AJ6" s="193">
        <f>IF(G6="N",IF(AD6=0,$G$58,RANK(AD6,$AD$5:$AD$52,0)),$G$58+1)</f>
        <v>5</v>
      </c>
      <c r="AK6" s="193" t="e">
        <f>IF(G6="N",IF(AE6=0,$G$58,RANK(AE6,$AE$5:$AE$52,0)),$G$58+1)</f>
        <v>#VALUE!</v>
      </c>
      <c r="AL6" s="193" t="e">
        <f>IF(G6="N",IF(AF6=0,$G$58,RANK(AF6,$AF$5:$AF$52,0)),$G$58+1)</f>
        <v>#VALUE!</v>
      </c>
      <c r="AM6" s="193" t="e">
        <f>IF(G6="N",IF(AG6=0,$G$58,RANK(AG6,$AG$5:$AG$52,0)),$G$58+1)</f>
        <v>#VALUE!</v>
      </c>
      <c r="AN6" s="238">
        <f t="shared" si="11"/>
        <v>5</v>
      </c>
      <c r="AO6" s="201">
        <f t="shared" si="12"/>
        <v>810</v>
      </c>
      <c r="AP6" s="52">
        <f aca="true" t="shared" si="16" ref="AP6:AP28">X6+AN6</f>
        <v>12</v>
      </c>
      <c r="AQ6" s="197">
        <f>AP6+(((100000-AO6)/10000000))</f>
        <v>12.009919</v>
      </c>
      <c r="AR6" s="197"/>
      <c r="AS6" s="197"/>
      <c r="AT6" s="224">
        <f>IF(G6="N",RANK(AQ6,$AQ$5:$AQ53,1),$G$58*4+1)</f>
        <v>23</v>
      </c>
      <c r="AU6" s="224"/>
      <c r="AV6" s="224"/>
      <c r="AW6" s="261">
        <f>AT6</f>
        <v>23</v>
      </c>
      <c r="AX6" s="328"/>
      <c r="AY6" s="325"/>
      <c r="AZ6" s="322"/>
    </row>
    <row r="7" spans="1:52" ht="14.25" customHeight="1">
      <c r="A7" s="91" t="s">
        <v>34</v>
      </c>
      <c r="B7" s="91">
        <v>3</v>
      </c>
      <c r="C7" s="207"/>
      <c r="D7" s="331"/>
      <c r="E7" s="28">
        <v>3</v>
      </c>
      <c r="F7" s="133" t="str">
        <f>IF('Jmený seznam'!D7,'Jmený seznam'!E7)</f>
        <v>Hurníková Michaela</v>
      </c>
      <c r="G7" s="186" t="str">
        <f t="shared" si="0"/>
        <v>N</v>
      </c>
      <c r="H7" s="190" t="s">
        <v>20</v>
      </c>
      <c r="I7" s="266" t="s">
        <v>34</v>
      </c>
      <c r="J7" s="52">
        <v>2</v>
      </c>
      <c r="K7" s="219">
        <v>630</v>
      </c>
      <c r="L7" s="192" t="str">
        <f t="shared" si="13"/>
        <v>N</v>
      </c>
      <c r="M7" s="192" t="str">
        <f t="shared" si="1"/>
        <v>N</v>
      </c>
      <c r="N7" s="192" t="str">
        <f t="shared" si="2"/>
        <v>N</v>
      </c>
      <c r="O7" s="192">
        <f t="shared" si="3"/>
        <v>630</v>
      </c>
      <c r="P7" s="192" t="str">
        <f t="shared" si="4"/>
        <v>N</v>
      </c>
      <c r="Q7" s="192" t="str">
        <f t="shared" si="5"/>
        <v>N</v>
      </c>
      <c r="R7" s="193" t="e">
        <f aca="true" t="shared" si="17" ref="R7:R12">IF(G7="N",IF(L7=0,$G$58,RANK(L7,$L$5:$L$52,0)),$G$58+1)</f>
        <v>#VALUE!</v>
      </c>
      <c r="S7" s="193" t="e">
        <f aca="true" t="shared" si="18" ref="S7:S12">IF(G7="N",IF(M7=0,$G$58,RANK(M7,$M$5:$M$52,0)),$G$58+1)</f>
        <v>#VALUE!</v>
      </c>
      <c r="T7" s="193" t="e">
        <f aca="true" t="shared" si="19" ref="T7:T12">IF(G7="N",IF(N7=0,$G$58,RANK(N7,$N$5:$N$52,0)),$G$58+1)</f>
        <v>#VALUE!</v>
      </c>
      <c r="U7" s="193">
        <f aca="true" t="shared" si="20" ref="U7:U12">IF(G7="N",IF(O7=0,$G$58,RANK(O7,$O$5:$O$52,0)),$G$58+1)</f>
        <v>4</v>
      </c>
      <c r="V7" s="193" t="e">
        <f aca="true" t="shared" si="21" ref="V7:V12">IF(G7="N",IF(P7=0,$G$58,RANK(P7,$P$5:$P$52,0)),$G$58+1)</f>
        <v>#VALUE!</v>
      </c>
      <c r="W7" s="193" t="e">
        <f aca="true" t="shared" si="22" ref="W7:W12">IF(G7="N",IF(Q7=0,$G$58,RANK(Q7,$Q$5:$Q$52,0)),$G$58+1)</f>
        <v>#VALUE!</v>
      </c>
      <c r="X7" s="234">
        <f t="shared" si="14"/>
        <v>4</v>
      </c>
      <c r="Y7" s="266" t="s">
        <v>34</v>
      </c>
      <c r="Z7" s="52">
        <v>8</v>
      </c>
      <c r="AA7" s="219">
        <v>10</v>
      </c>
      <c r="AB7" s="192" t="str">
        <f t="shared" si="15"/>
        <v>N</v>
      </c>
      <c r="AC7" s="192" t="str">
        <f t="shared" si="6"/>
        <v>N</v>
      </c>
      <c r="AD7" s="192" t="str">
        <f t="shared" si="7"/>
        <v>N</v>
      </c>
      <c r="AE7" s="192">
        <f t="shared" si="8"/>
        <v>10</v>
      </c>
      <c r="AF7" s="192" t="str">
        <f t="shared" si="9"/>
        <v>N</v>
      </c>
      <c r="AG7" s="192" t="str">
        <f t="shared" si="10"/>
        <v>N</v>
      </c>
      <c r="AH7" s="193" t="e">
        <f aca="true" t="shared" si="23" ref="AH7:AH12">IF(G7="N",IF(AB7=0,$G$58,RANK(AB7,$AB$5:$AB$52,0)),$G$58+1)</f>
        <v>#VALUE!</v>
      </c>
      <c r="AI7" s="193" t="e">
        <f aca="true" t="shared" si="24" ref="AI7:AI12">IF(G7="N",IF(AC7=0,$G$58,RANK(AC7,$AC$5:$AC$52,0)),$G$58+1)</f>
        <v>#VALUE!</v>
      </c>
      <c r="AJ7" s="193" t="e">
        <f aca="true" t="shared" si="25" ref="AJ7:AJ12">IF(G7="N",IF(AD7=0,$G$58,RANK(AD7,$AD$5:$AD$52,0)),$G$58+1)</f>
        <v>#VALUE!</v>
      </c>
      <c r="AK7" s="193">
        <f aca="true" t="shared" si="26" ref="AK7:AK12">IF(G7="N",IF(AE7=0,$G$58,RANK(AE7,$AE$5:$AE$52,0)),$G$58+1)</f>
        <v>5</v>
      </c>
      <c r="AL7" s="193" t="e">
        <f aca="true" t="shared" si="27" ref="AL7:AL12">IF(G7="N",IF(AF7=0,$G$58,RANK(AF7,$AF$5:$AF$52,0)),$G$58+1)</f>
        <v>#VALUE!</v>
      </c>
      <c r="AM7" s="193" t="e">
        <f aca="true" t="shared" si="28" ref="AM7:AM12">IF(G7="N",IF(AG7=0,$G$58,RANK(AG7,$AG$5:$AG$52,0)),$G$58+1)</f>
        <v>#VALUE!</v>
      </c>
      <c r="AN7" s="238">
        <f t="shared" si="11"/>
        <v>5</v>
      </c>
      <c r="AO7" s="201">
        <f t="shared" si="12"/>
        <v>640</v>
      </c>
      <c r="AP7" s="52">
        <f t="shared" si="16"/>
        <v>9</v>
      </c>
      <c r="AQ7" s="197">
        <f>AP7+(((100000-AO7)/10000000))</f>
        <v>9.009936</v>
      </c>
      <c r="AR7" s="197"/>
      <c r="AS7" s="197"/>
      <c r="AT7" s="224">
        <f>IF(G7="N",RANK(AQ7,$AQ$5:$AQ54,1),$G$58*4+1)</f>
        <v>20</v>
      </c>
      <c r="AU7" s="224"/>
      <c r="AV7" s="224"/>
      <c r="AW7" s="261">
        <f>AT7</f>
        <v>20</v>
      </c>
      <c r="AX7" s="328"/>
      <c r="AY7" s="325"/>
      <c r="AZ7" s="322"/>
    </row>
    <row r="8" spans="1:52" ht="14.25" customHeight="1">
      <c r="A8" s="91" t="s">
        <v>31</v>
      </c>
      <c r="B8" s="91">
        <v>4</v>
      </c>
      <c r="C8" s="207"/>
      <c r="D8" s="331"/>
      <c r="E8" s="28">
        <v>4</v>
      </c>
      <c r="F8" s="133" t="str">
        <f>IF('Jmený seznam'!D8,'Jmený seznam'!E8)</f>
        <v>Těšínský Jindřich</v>
      </c>
      <c r="G8" s="186" t="str">
        <f t="shared" si="0"/>
        <v>N</v>
      </c>
      <c r="H8" s="190" t="s">
        <v>20</v>
      </c>
      <c r="I8" s="266" t="s">
        <v>31</v>
      </c>
      <c r="J8" s="52">
        <v>2</v>
      </c>
      <c r="K8" s="219">
        <v>4860</v>
      </c>
      <c r="L8" s="192">
        <f t="shared" si="13"/>
        <v>4860</v>
      </c>
      <c r="M8" s="192" t="str">
        <f t="shared" si="1"/>
        <v>N</v>
      </c>
      <c r="N8" s="192" t="str">
        <f t="shared" si="2"/>
        <v>N</v>
      </c>
      <c r="O8" s="192" t="str">
        <f t="shared" si="3"/>
        <v>N</v>
      </c>
      <c r="P8" s="192" t="str">
        <f t="shared" si="4"/>
        <v>N</v>
      </c>
      <c r="Q8" s="192" t="str">
        <f t="shared" si="5"/>
        <v>N</v>
      </c>
      <c r="R8" s="193">
        <f t="shared" si="17"/>
        <v>2</v>
      </c>
      <c r="S8" s="193" t="e">
        <f t="shared" si="18"/>
        <v>#VALUE!</v>
      </c>
      <c r="T8" s="193" t="e">
        <f t="shared" si="19"/>
        <v>#VALUE!</v>
      </c>
      <c r="U8" s="193" t="e">
        <f t="shared" si="20"/>
        <v>#VALUE!</v>
      </c>
      <c r="V8" s="193" t="e">
        <f t="shared" si="21"/>
        <v>#VALUE!</v>
      </c>
      <c r="W8" s="193" t="e">
        <f t="shared" si="22"/>
        <v>#VALUE!</v>
      </c>
      <c r="X8" s="234">
        <f t="shared" si="14"/>
        <v>2</v>
      </c>
      <c r="Y8" s="266" t="s">
        <v>32</v>
      </c>
      <c r="Z8" s="52">
        <v>8</v>
      </c>
      <c r="AA8" s="219">
        <v>240</v>
      </c>
      <c r="AB8" s="192" t="str">
        <f t="shared" si="15"/>
        <v>N</v>
      </c>
      <c r="AC8" s="192">
        <f t="shared" si="6"/>
        <v>240</v>
      </c>
      <c r="AD8" s="192" t="str">
        <f t="shared" si="7"/>
        <v>N</v>
      </c>
      <c r="AE8" s="192" t="str">
        <f t="shared" si="8"/>
        <v>N</v>
      </c>
      <c r="AF8" s="192" t="str">
        <f t="shared" si="9"/>
        <v>N</v>
      </c>
      <c r="AG8" s="192" t="str">
        <f t="shared" si="10"/>
        <v>N</v>
      </c>
      <c r="AH8" s="193" t="e">
        <f t="shared" si="23"/>
        <v>#VALUE!</v>
      </c>
      <c r="AI8" s="193">
        <f t="shared" si="24"/>
        <v>6</v>
      </c>
      <c r="AJ8" s="193" t="e">
        <f t="shared" si="25"/>
        <v>#VALUE!</v>
      </c>
      <c r="AK8" s="193" t="e">
        <f t="shared" si="26"/>
        <v>#VALUE!</v>
      </c>
      <c r="AL8" s="193" t="e">
        <f t="shared" si="27"/>
        <v>#VALUE!</v>
      </c>
      <c r="AM8" s="193" t="e">
        <f t="shared" si="28"/>
        <v>#VALUE!</v>
      </c>
      <c r="AN8" s="238">
        <f t="shared" si="11"/>
        <v>6</v>
      </c>
      <c r="AO8" s="201">
        <f t="shared" si="12"/>
        <v>5100</v>
      </c>
      <c r="AP8" s="52">
        <f t="shared" si="16"/>
        <v>8</v>
      </c>
      <c r="AQ8" s="197">
        <f>AP8+(((100000-AO8)/10000000))</f>
        <v>8.00949</v>
      </c>
      <c r="AR8" s="197"/>
      <c r="AS8" s="197"/>
      <c r="AT8" s="224">
        <f>IF(G8="N",RANK(AQ8,$AQ$5:$AQ55,1),$G$58*4+1)</f>
        <v>13</v>
      </c>
      <c r="AU8" s="224"/>
      <c r="AV8" s="224"/>
      <c r="AW8" s="261">
        <f>AT8</f>
        <v>13</v>
      </c>
      <c r="AX8" s="328"/>
      <c r="AY8" s="325"/>
      <c r="AZ8" s="322"/>
    </row>
    <row r="9" spans="1:52" ht="14.25" customHeight="1">
      <c r="A9" s="91" t="s">
        <v>35</v>
      </c>
      <c r="B9" s="91">
        <v>5</v>
      </c>
      <c r="C9" s="207"/>
      <c r="D9" s="331"/>
      <c r="E9" s="28">
        <v>5</v>
      </c>
      <c r="F9" s="133" t="str">
        <f>IF('Jmený seznam'!D9,'Jmený seznam'!E9)</f>
        <v>Tvrdá Nikola</v>
      </c>
      <c r="G9" s="186" t="str">
        <f t="shared" si="0"/>
        <v>N</v>
      </c>
      <c r="H9" s="190" t="s">
        <v>24</v>
      </c>
      <c r="I9" s="276" t="s">
        <v>36</v>
      </c>
      <c r="J9" s="52">
        <v>2</v>
      </c>
      <c r="K9" s="219">
        <v>195</v>
      </c>
      <c r="L9" s="192" t="str">
        <f t="shared" si="13"/>
        <v>N</v>
      </c>
      <c r="M9" s="192" t="str">
        <f t="shared" si="1"/>
        <v>N</v>
      </c>
      <c r="N9" s="192" t="str">
        <f t="shared" si="2"/>
        <v>N</v>
      </c>
      <c r="O9" s="192" t="str">
        <f t="shared" si="3"/>
        <v>N</v>
      </c>
      <c r="P9" s="192" t="str">
        <f t="shared" si="4"/>
        <v>N</v>
      </c>
      <c r="Q9" s="192">
        <f t="shared" si="5"/>
        <v>195</v>
      </c>
      <c r="R9" s="193" t="e">
        <f t="shared" si="17"/>
        <v>#VALUE!</v>
      </c>
      <c r="S9" s="193" t="e">
        <f t="shared" si="18"/>
        <v>#VALUE!</v>
      </c>
      <c r="T9" s="193" t="e">
        <f t="shared" si="19"/>
        <v>#VALUE!</v>
      </c>
      <c r="U9" s="193" t="e">
        <f t="shared" si="20"/>
        <v>#VALUE!</v>
      </c>
      <c r="V9" s="193" t="e">
        <f t="shared" si="21"/>
        <v>#VALUE!</v>
      </c>
      <c r="W9" s="193">
        <f t="shared" si="22"/>
        <v>5</v>
      </c>
      <c r="X9" s="234">
        <f t="shared" si="14"/>
        <v>5</v>
      </c>
      <c r="Y9" s="276" t="s">
        <v>35</v>
      </c>
      <c r="Z9" s="52">
        <v>8</v>
      </c>
      <c r="AA9" s="219">
        <v>245</v>
      </c>
      <c r="AB9" s="192" t="str">
        <f t="shared" si="15"/>
        <v>N</v>
      </c>
      <c r="AC9" s="192" t="str">
        <f t="shared" si="6"/>
        <v>N</v>
      </c>
      <c r="AD9" s="192" t="str">
        <f t="shared" si="7"/>
        <v>N</v>
      </c>
      <c r="AE9" s="192" t="str">
        <f t="shared" si="8"/>
        <v>N</v>
      </c>
      <c r="AF9" s="192">
        <f t="shared" si="9"/>
        <v>245</v>
      </c>
      <c r="AG9" s="192" t="str">
        <f t="shared" si="10"/>
        <v>N</v>
      </c>
      <c r="AH9" s="193" t="e">
        <f t="shared" si="23"/>
        <v>#VALUE!</v>
      </c>
      <c r="AI9" s="193" t="e">
        <f t="shared" si="24"/>
        <v>#VALUE!</v>
      </c>
      <c r="AJ9" s="193" t="e">
        <f t="shared" si="25"/>
        <v>#VALUE!</v>
      </c>
      <c r="AK9" s="193" t="e">
        <f t="shared" si="26"/>
        <v>#VALUE!</v>
      </c>
      <c r="AL9" s="193">
        <f t="shared" si="27"/>
        <v>3</v>
      </c>
      <c r="AM9" s="193" t="e">
        <f t="shared" si="28"/>
        <v>#VALUE!</v>
      </c>
      <c r="AN9" s="238">
        <f t="shared" si="11"/>
        <v>3</v>
      </c>
      <c r="AO9" s="201">
        <f t="shared" si="12"/>
        <v>440</v>
      </c>
      <c r="AP9" s="52">
        <f t="shared" si="16"/>
        <v>8</v>
      </c>
      <c r="AQ9" s="197"/>
      <c r="AR9" s="197">
        <f>AP9+(((100000-AO9)/10000000))</f>
        <v>8.009956</v>
      </c>
      <c r="AS9" s="197"/>
      <c r="AT9" s="224"/>
      <c r="AU9" s="224">
        <f>IF(G9="N",RANK(AR9,$AR$5:$AR$52,1),$G$58+1)</f>
        <v>3</v>
      </c>
      <c r="AV9" s="224"/>
      <c r="AW9" s="261">
        <f>AU9</f>
        <v>3</v>
      </c>
      <c r="AX9" s="328"/>
      <c r="AY9" s="325"/>
      <c r="AZ9" s="322"/>
    </row>
    <row r="10" spans="1:52" ht="14.25" customHeight="1" thickBot="1">
      <c r="A10" s="91" t="s">
        <v>36</v>
      </c>
      <c r="B10" s="91">
        <v>6</v>
      </c>
      <c r="C10" s="207"/>
      <c r="D10" s="332"/>
      <c r="E10" s="29">
        <v>6</v>
      </c>
      <c r="F10" s="139" t="str">
        <f>IF('Jmený seznam'!D10,'Jmený seznam'!E10)</f>
        <v>Česenek Jan</v>
      </c>
      <c r="G10" s="202" t="str">
        <f t="shared" si="0"/>
        <v>N</v>
      </c>
      <c r="H10" s="203" t="s">
        <v>26</v>
      </c>
      <c r="I10" s="277" t="s">
        <v>35</v>
      </c>
      <c r="J10" s="75">
        <v>2</v>
      </c>
      <c r="K10" s="220">
        <v>60</v>
      </c>
      <c r="L10" s="204" t="str">
        <f t="shared" si="13"/>
        <v>N</v>
      </c>
      <c r="M10" s="204" t="str">
        <f t="shared" si="1"/>
        <v>N</v>
      </c>
      <c r="N10" s="204" t="str">
        <f t="shared" si="2"/>
        <v>N</v>
      </c>
      <c r="O10" s="204" t="str">
        <f t="shared" si="3"/>
        <v>N</v>
      </c>
      <c r="P10" s="204">
        <f t="shared" si="4"/>
        <v>60</v>
      </c>
      <c r="Q10" s="204" t="str">
        <f t="shared" si="5"/>
        <v>N</v>
      </c>
      <c r="R10" s="193" t="e">
        <f t="shared" si="17"/>
        <v>#VALUE!</v>
      </c>
      <c r="S10" s="193" t="e">
        <f t="shared" si="18"/>
        <v>#VALUE!</v>
      </c>
      <c r="T10" s="193" t="e">
        <f t="shared" si="19"/>
        <v>#VALUE!</v>
      </c>
      <c r="U10" s="193" t="e">
        <f t="shared" si="20"/>
        <v>#VALUE!</v>
      </c>
      <c r="V10" s="193">
        <f t="shared" si="21"/>
        <v>7</v>
      </c>
      <c r="W10" s="193" t="e">
        <f t="shared" si="22"/>
        <v>#VALUE!</v>
      </c>
      <c r="X10" s="235">
        <f t="shared" si="14"/>
        <v>7</v>
      </c>
      <c r="Y10" s="277" t="s">
        <v>36</v>
      </c>
      <c r="Z10" s="75">
        <v>8</v>
      </c>
      <c r="AA10" s="220">
        <v>1845</v>
      </c>
      <c r="AB10" s="204" t="str">
        <f t="shared" si="15"/>
        <v>N</v>
      </c>
      <c r="AC10" s="204" t="str">
        <f t="shared" si="6"/>
        <v>N</v>
      </c>
      <c r="AD10" s="204" t="str">
        <f t="shared" si="7"/>
        <v>N</v>
      </c>
      <c r="AE10" s="204" t="str">
        <f t="shared" si="8"/>
        <v>N</v>
      </c>
      <c r="AF10" s="204" t="str">
        <f t="shared" si="9"/>
        <v>N</v>
      </c>
      <c r="AG10" s="204">
        <f t="shared" si="10"/>
        <v>1845</v>
      </c>
      <c r="AH10" s="193" t="e">
        <f t="shared" si="23"/>
        <v>#VALUE!</v>
      </c>
      <c r="AI10" s="193" t="e">
        <f t="shared" si="24"/>
        <v>#VALUE!</v>
      </c>
      <c r="AJ10" s="193" t="e">
        <f t="shared" si="25"/>
        <v>#VALUE!</v>
      </c>
      <c r="AK10" s="193" t="e">
        <f t="shared" si="26"/>
        <v>#VALUE!</v>
      </c>
      <c r="AL10" s="193" t="e">
        <f t="shared" si="27"/>
        <v>#VALUE!</v>
      </c>
      <c r="AM10" s="193">
        <f t="shared" si="28"/>
        <v>3</v>
      </c>
      <c r="AN10" s="239">
        <f t="shared" si="11"/>
        <v>3</v>
      </c>
      <c r="AO10" s="205">
        <f t="shared" si="12"/>
        <v>1905</v>
      </c>
      <c r="AP10" s="75">
        <f t="shared" si="16"/>
        <v>10</v>
      </c>
      <c r="AQ10" s="206"/>
      <c r="AR10" s="206"/>
      <c r="AS10" s="206">
        <f>AP10+(((100000-AO10)/10000000))</f>
        <v>10.0098095</v>
      </c>
      <c r="AT10" s="224"/>
      <c r="AU10" s="224"/>
      <c r="AV10" s="224">
        <f>IF(G10="N",RANK(AS10,$AS$5:$AS$52,1),$G$58+1)</f>
        <v>6</v>
      </c>
      <c r="AW10" s="262">
        <f>AV10</f>
        <v>6</v>
      </c>
      <c r="AX10" s="345"/>
      <c r="AY10" s="326"/>
      <c r="AZ10" s="323"/>
    </row>
    <row r="11" spans="1:52" ht="15" customHeight="1">
      <c r="A11" s="91"/>
      <c r="B11" s="91">
        <v>7</v>
      </c>
      <c r="C11" s="207"/>
      <c r="D11" s="333" t="str">
        <f>IF('Jmený seznam'!D11,'Jmený seznam'!C11)</f>
        <v>Moravskoslezský</v>
      </c>
      <c r="E11" s="137">
        <v>7</v>
      </c>
      <c r="F11" s="132" t="str">
        <f>IF('Jmený seznam'!D11,'Jmený seznam'!E11)</f>
        <v>Dresler Dominik</v>
      </c>
      <c r="G11" s="187" t="str">
        <f t="shared" si="0"/>
        <v>N</v>
      </c>
      <c r="H11" s="189" t="s">
        <v>20</v>
      </c>
      <c r="I11" s="265" t="s">
        <v>32</v>
      </c>
      <c r="J11" s="57">
        <v>5</v>
      </c>
      <c r="K11" s="218">
        <v>1490</v>
      </c>
      <c r="L11" s="194" t="str">
        <f t="shared" si="13"/>
        <v>N</v>
      </c>
      <c r="M11" s="194">
        <f t="shared" si="1"/>
        <v>1490</v>
      </c>
      <c r="N11" s="194" t="str">
        <f t="shared" si="2"/>
        <v>N</v>
      </c>
      <c r="O11" s="194" t="str">
        <f t="shared" si="3"/>
        <v>N</v>
      </c>
      <c r="P11" s="194" t="str">
        <f t="shared" si="4"/>
        <v>N</v>
      </c>
      <c r="Q11" s="194" t="str">
        <f t="shared" si="5"/>
        <v>N</v>
      </c>
      <c r="R11" s="213" t="e">
        <f t="shared" si="17"/>
        <v>#VALUE!</v>
      </c>
      <c r="S11" s="213">
        <f t="shared" si="18"/>
        <v>3</v>
      </c>
      <c r="T11" s="213" t="e">
        <f t="shared" si="19"/>
        <v>#VALUE!</v>
      </c>
      <c r="U11" s="213" t="e">
        <f t="shared" si="20"/>
        <v>#VALUE!</v>
      </c>
      <c r="V11" s="213" t="e">
        <f t="shared" si="21"/>
        <v>#VALUE!</v>
      </c>
      <c r="W11" s="213" t="e">
        <f t="shared" si="22"/>
        <v>#VALUE!</v>
      </c>
      <c r="X11" s="233">
        <f t="shared" si="14"/>
        <v>3</v>
      </c>
      <c r="Y11" s="265" t="s">
        <v>34</v>
      </c>
      <c r="Z11" s="57">
        <v>6</v>
      </c>
      <c r="AA11" s="218">
        <v>1135</v>
      </c>
      <c r="AB11" s="194" t="str">
        <f t="shared" si="15"/>
        <v>N</v>
      </c>
      <c r="AC11" s="194" t="str">
        <f t="shared" si="6"/>
        <v>N</v>
      </c>
      <c r="AD11" s="194" t="str">
        <f t="shared" si="7"/>
        <v>N</v>
      </c>
      <c r="AE11" s="194">
        <f t="shared" si="8"/>
        <v>1135</v>
      </c>
      <c r="AF11" s="194" t="str">
        <f t="shared" si="9"/>
        <v>N</v>
      </c>
      <c r="AG11" s="194" t="str">
        <f t="shared" si="10"/>
        <v>N</v>
      </c>
      <c r="AH11" s="213" t="e">
        <f t="shared" si="23"/>
        <v>#VALUE!</v>
      </c>
      <c r="AI11" s="213" t="e">
        <f t="shared" si="24"/>
        <v>#VALUE!</v>
      </c>
      <c r="AJ11" s="213" t="e">
        <f t="shared" si="25"/>
        <v>#VALUE!</v>
      </c>
      <c r="AK11" s="213">
        <f t="shared" si="26"/>
        <v>2</v>
      </c>
      <c r="AL11" s="213" t="e">
        <f t="shared" si="27"/>
        <v>#VALUE!</v>
      </c>
      <c r="AM11" s="213" t="e">
        <f t="shared" si="28"/>
        <v>#VALUE!</v>
      </c>
      <c r="AN11" s="233">
        <f t="shared" si="11"/>
        <v>2</v>
      </c>
      <c r="AO11" s="132">
        <f t="shared" si="12"/>
        <v>2625</v>
      </c>
      <c r="AP11" s="57">
        <f t="shared" si="16"/>
        <v>5</v>
      </c>
      <c r="AQ11" s="198">
        <f>AP11+(((100000-AO11)/10000000))</f>
        <v>5.0097375</v>
      </c>
      <c r="AR11" s="198"/>
      <c r="AS11" s="198"/>
      <c r="AT11" s="226">
        <f>IF(G11="N",RANK(AQ11,$AQ$5:$AQ58,1),$G$58*4+1)</f>
        <v>5</v>
      </c>
      <c r="AU11" s="226"/>
      <c r="AV11" s="226"/>
      <c r="AW11" s="260">
        <f>AT11</f>
        <v>5</v>
      </c>
      <c r="AX11" s="327">
        <f>SUM(AO11:AO16)</f>
        <v>14675</v>
      </c>
      <c r="AY11" s="324">
        <f>SUM(AP11:AP16)</f>
        <v>39</v>
      </c>
      <c r="AZ11" s="321">
        <f>RANK(AY11,$AY$5:$AY$52,1)</f>
        <v>3</v>
      </c>
    </row>
    <row r="12" spans="1:52" ht="14.25" customHeight="1">
      <c r="A12" s="91"/>
      <c r="B12" s="91">
        <v>8</v>
      </c>
      <c r="C12" s="207"/>
      <c r="D12" s="331"/>
      <c r="E12" s="50">
        <v>8</v>
      </c>
      <c r="F12" s="133" t="str">
        <f>IF('Jmený seznam'!D12,'Jmený seznam'!E12)</f>
        <v>Bernatík Tomáš</v>
      </c>
      <c r="G12" s="186" t="str">
        <f t="shared" si="0"/>
        <v>N</v>
      </c>
      <c r="H12" s="190" t="s">
        <v>20</v>
      </c>
      <c r="I12" s="266" t="s">
        <v>33</v>
      </c>
      <c r="J12" s="52">
        <v>5</v>
      </c>
      <c r="K12" s="219">
        <v>270</v>
      </c>
      <c r="L12" s="192" t="str">
        <f t="shared" si="13"/>
        <v>N</v>
      </c>
      <c r="M12" s="192" t="str">
        <f t="shared" si="1"/>
        <v>N</v>
      </c>
      <c r="N12" s="192">
        <f t="shared" si="2"/>
        <v>270</v>
      </c>
      <c r="O12" s="192" t="str">
        <f t="shared" si="3"/>
        <v>N</v>
      </c>
      <c r="P12" s="192" t="str">
        <f t="shared" si="4"/>
        <v>N</v>
      </c>
      <c r="Q12" s="192" t="str">
        <f t="shared" si="5"/>
        <v>N</v>
      </c>
      <c r="R12" s="193" t="e">
        <f t="shared" si="17"/>
        <v>#VALUE!</v>
      </c>
      <c r="S12" s="193" t="e">
        <f t="shared" si="18"/>
        <v>#VALUE!</v>
      </c>
      <c r="T12" s="193">
        <f t="shared" si="19"/>
        <v>5</v>
      </c>
      <c r="U12" s="193" t="e">
        <f t="shared" si="20"/>
        <v>#VALUE!</v>
      </c>
      <c r="V12" s="193" t="e">
        <f t="shared" si="21"/>
        <v>#VALUE!</v>
      </c>
      <c r="W12" s="193" t="e">
        <f t="shared" si="22"/>
        <v>#VALUE!</v>
      </c>
      <c r="X12" s="234">
        <f t="shared" si="14"/>
        <v>5</v>
      </c>
      <c r="Y12" s="266" t="s">
        <v>32</v>
      </c>
      <c r="Z12" s="52">
        <v>6</v>
      </c>
      <c r="AA12" s="219">
        <v>1570</v>
      </c>
      <c r="AB12" s="192" t="str">
        <f t="shared" si="15"/>
        <v>N</v>
      </c>
      <c r="AC12" s="192">
        <f t="shared" si="6"/>
        <v>1570</v>
      </c>
      <c r="AD12" s="192" t="str">
        <f t="shared" si="7"/>
        <v>N</v>
      </c>
      <c r="AE12" s="192" t="str">
        <f t="shared" si="8"/>
        <v>N</v>
      </c>
      <c r="AF12" s="192" t="str">
        <f t="shared" si="9"/>
        <v>N</v>
      </c>
      <c r="AG12" s="192" t="str">
        <f t="shared" si="10"/>
        <v>N</v>
      </c>
      <c r="AH12" s="193" t="e">
        <f t="shared" si="23"/>
        <v>#VALUE!</v>
      </c>
      <c r="AI12" s="193">
        <f t="shared" si="24"/>
        <v>4</v>
      </c>
      <c r="AJ12" s="193" t="e">
        <f t="shared" si="25"/>
        <v>#VALUE!</v>
      </c>
      <c r="AK12" s="193" t="e">
        <f t="shared" si="26"/>
        <v>#VALUE!</v>
      </c>
      <c r="AL12" s="193" t="e">
        <f t="shared" si="27"/>
        <v>#VALUE!</v>
      </c>
      <c r="AM12" s="193" t="e">
        <f t="shared" si="28"/>
        <v>#VALUE!</v>
      </c>
      <c r="AN12" s="234">
        <f t="shared" si="11"/>
        <v>4</v>
      </c>
      <c r="AO12" s="133">
        <f t="shared" si="12"/>
        <v>1840</v>
      </c>
      <c r="AP12" s="52">
        <f t="shared" si="16"/>
        <v>9</v>
      </c>
      <c r="AQ12" s="197">
        <f>AP12+(((100000-AO12)/10000000))</f>
        <v>9.009816</v>
      </c>
      <c r="AR12" s="197"/>
      <c r="AS12" s="197"/>
      <c r="AT12" s="224">
        <f>IF(G12="N",RANK(AQ12,$AQ$5:$AQ59,1),$G$58*4+1)</f>
        <v>19</v>
      </c>
      <c r="AU12" s="224"/>
      <c r="AV12" s="224"/>
      <c r="AW12" s="261">
        <f>AT12</f>
        <v>19</v>
      </c>
      <c r="AX12" s="328"/>
      <c r="AY12" s="325"/>
      <c r="AZ12" s="322"/>
    </row>
    <row r="13" spans="1:52" ht="14.25" customHeight="1">
      <c r="A13" s="91"/>
      <c r="B13" s="91"/>
      <c r="C13" s="207"/>
      <c r="D13" s="331"/>
      <c r="E13" s="50">
        <v>9</v>
      </c>
      <c r="F13" s="133" t="str">
        <f>IF('Jmený seznam'!D13,'Jmený seznam'!E13)</f>
        <v>Wróblová Taťána</v>
      </c>
      <c r="G13" s="186" t="str">
        <f t="shared" si="0"/>
        <v>N</v>
      </c>
      <c r="H13" s="190" t="s">
        <v>20</v>
      </c>
      <c r="I13" s="266" t="s">
        <v>31</v>
      </c>
      <c r="J13" s="52">
        <v>5</v>
      </c>
      <c r="K13" s="219">
        <v>220</v>
      </c>
      <c r="L13" s="192">
        <f t="shared" si="13"/>
        <v>220</v>
      </c>
      <c r="M13" s="192" t="str">
        <f t="shared" si="1"/>
        <v>N</v>
      </c>
      <c r="N13" s="192" t="str">
        <f t="shared" si="2"/>
        <v>N</v>
      </c>
      <c r="O13" s="192" t="str">
        <f t="shared" si="3"/>
        <v>N</v>
      </c>
      <c r="P13" s="192" t="str">
        <f t="shared" si="4"/>
        <v>N</v>
      </c>
      <c r="Q13" s="192" t="str">
        <f t="shared" si="5"/>
        <v>N</v>
      </c>
      <c r="R13" s="193">
        <f aca="true" t="shared" si="29" ref="R13:R52">IF(G13="N",IF(L13=0,$G$58,RANK(L13,$L$5:$L$52,0)),$G$58+1)</f>
        <v>7</v>
      </c>
      <c r="S13" s="193" t="e">
        <f aca="true" t="shared" si="30" ref="S13:S52">IF(G13="N",IF(M13=0,$G$58,RANK(M13,$M$5:$M$52,0)),$G$58+1)</f>
        <v>#VALUE!</v>
      </c>
      <c r="T13" s="193" t="e">
        <f aca="true" t="shared" si="31" ref="T13:T52">IF(G13="N",IF(N13=0,$G$58,RANK(N13,$N$5:$N$52,0)),$G$58+1)</f>
        <v>#VALUE!</v>
      </c>
      <c r="U13" s="193" t="e">
        <f aca="true" t="shared" si="32" ref="U13:U52">IF(G13="N",IF(O13=0,$G$58,RANK(O13,$O$5:$O$52,0)),$G$58+1)</f>
        <v>#VALUE!</v>
      </c>
      <c r="V13" s="193" t="e">
        <f aca="true" t="shared" si="33" ref="V13:V52">IF(G13="N",IF(P13=0,$G$58,RANK(P13,$P$5:$P$52,0)),$G$58+1)</f>
        <v>#VALUE!</v>
      </c>
      <c r="W13" s="193" t="e">
        <f aca="true" t="shared" si="34" ref="W13:W52">IF(G13="N",IF(Q13=0,$G$58,RANK(Q13,$Q$5:$Q$52,0)),$G$58+1)</f>
        <v>#VALUE!</v>
      </c>
      <c r="X13" s="234">
        <f t="shared" si="14"/>
        <v>7</v>
      </c>
      <c r="Y13" s="266" t="s">
        <v>31</v>
      </c>
      <c r="Z13" s="52">
        <v>6</v>
      </c>
      <c r="AA13" s="219">
        <v>440</v>
      </c>
      <c r="AB13" s="192">
        <f t="shared" si="15"/>
        <v>440</v>
      </c>
      <c r="AC13" s="192" t="str">
        <f t="shared" si="6"/>
        <v>N</v>
      </c>
      <c r="AD13" s="192" t="str">
        <f t="shared" si="7"/>
        <v>N</v>
      </c>
      <c r="AE13" s="192" t="str">
        <f t="shared" si="8"/>
        <v>N</v>
      </c>
      <c r="AF13" s="192" t="str">
        <f t="shared" si="9"/>
        <v>N</v>
      </c>
      <c r="AG13" s="192" t="str">
        <f t="shared" si="10"/>
        <v>N</v>
      </c>
      <c r="AH13" s="193">
        <f aca="true" t="shared" si="35" ref="AH13:AH52">IF(G13="N",IF(AB13=0,$G$58,RANK(AB13,$AB$5:$AB$52,0)),$G$58+1)</f>
        <v>4</v>
      </c>
      <c r="AI13" s="193" t="e">
        <f aca="true" t="shared" si="36" ref="AI13:AI52">IF(G13="N",IF(AC13=0,$G$58,RANK(AC13,$AC$5:$AC$52,0)),$G$58+1)</f>
        <v>#VALUE!</v>
      </c>
      <c r="AJ13" s="193" t="e">
        <f aca="true" t="shared" si="37" ref="AJ13:AJ52">IF(G13="N",IF(AD13=0,$G$58,RANK(AD13,$AD$5:$AD$52,0)),$G$58+1)</f>
        <v>#VALUE!</v>
      </c>
      <c r="AK13" s="193" t="e">
        <f aca="true" t="shared" si="38" ref="AK13:AK52">IF(G13="N",IF(AE13=0,$G$58,RANK(AE13,$AE$5:$AE$52,0)),$G$58+1)</f>
        <v>#VALUE!</v>
      </c>
      <c r="AL13" s="193" t="e">
        <f aca="true" t="shared" si="39" ref="AL13:AL52">IF(G13="N",IF(AF13=0,$G$58,RANK(AF13,$AF$5:$AF$52,0)),$G$58+1)</f>
        <v>#VALUE!</v>
      </c>
      <c r="AM13" s="193" t="e">
        <f aca="true" t="shared" si="40" ref="AM13:AM52">IF(G13="N",IF(AG13=0,$G$58,RANK(AG13,$AG$5:$AG$52,0)),$G$58+1)</f>
        <v>#VALUE!</v>
      </c>
      <c r="AN13" s="234">
        <f t="shared" si="11"/>
        <v>4</v>
      </c>
      <c r="AO13" s="133">
        <f t="shared" si="12"/>
        <v>660</v>
      </c>
      <c r="AP13" s="52">
        <f t="shared" si="16"/>
        <v>11</v>
      </c>
      <c r="AQ13" s="197">
        <f>AP13+(((100000-AO13)/10000000))</f>
        <v>11.009934</v>
      </c>
      <c r="AR13" s="197"/>
      <c r="AS13" s="197"/>
      <c r="AT13" s="224">
        <f>IF(G13="N",RANK(AQ13,$AQ$5:$AQ60,1),$G$58*4+1)</f>
        <v>22</v>
      </c>
      <c r="AU13" s="224"/>
      <c r="AV13" s="224"/>
      <c r="AW13" s="261">
        <f>AT13</f>
        <v>22</v>
      </c>
      <c r="AX13" s="328"/>
      <c r="AY13" s="325"/>
      <c r="AZ13" s="322"/>
    </row>
    <row r="14" spans="1:52" ht="14.25" customHeight="1">
      <c r="A14" s="275"/>
      <c r="B14" s="91"/>
      <c r="C14" s="207"/>
      <c r="D14" s="331"/>
      <c r="E14" s="50">
        <v>10</v>
      </c>
      <c r="F14" s="133" t="str">
        <f>IF('Jmený seznam'!D14,'Jmený seznam'!E14)</f>
        <v>Zemánková Johanka</v>
      </c>
      <c r="G14" s="186" t="str">
        <f t="shared" si="0"/>
        <v>N</v>
      </c>
      <c r="H14" s="190" t="s">
        <v>20</v>
      </c>
      <c r="I14" s="266" t="s">
        <v>34</v>
      </c>
      <c r="J14" s="52">
        <v>5</v>
      </c>
      <c r="K14" s="219">
        <v>820</v>
      </c>
      <c r="L14" s="192" t="str">
        <f t="shared" si="13"/>
        <v>N</v>
      </c>
      <c r="M14" s="192" t="str">
        <f t="shared" si="1"/>
        <v>N</v>
      </c>
      <c r="N14" s="192" t="str">
        <f t="shared" si="2"/>
        <v>N</v>
      </c>
      <c r="O14" s="192">
        <f t="shared" si="3"/>
        <v>820</v>
      </c>
      <c r="P14" s="192" t="str">
        <f t="shared" si="4"/>
        <v>N</v>
      </c>
      <c r="Q14" s="192" t="str">
        <f t="shared" si="5"/>
        <v>N</v>
      </c>
      <c r="R14" s="193" t="e">
        <f t="shared" si="29"/>
        <v>#VALUE!</v>
      </c>
      <c r="S14" s="193" t="e">
        <f t="shared" si="30"/>
        <v>#VALUE!</v>
      </c>
      <c r="T14" s="193" t="e">
        <f t="shared" si="31"/>
        <v>#VALUE!</v>
      </c>
      <c r="U14" s="193">
        <f t="shared" si="32"/>
        <v>3</v>
      </c>
      <c r="V14" s="193" t="e">
        <f t="shared" si="33"/>
        <v>#VALUE!</v>
      </c>
      <c r="W14" s="193" t="e">
        <f t="shared" si="34"/>
        <v>#VALUE!</v>
      </c>
      <c r="X14" s="234">
        <f t="shared" si="14"/>
        <v>3</v>
      </c>
      <c r="Y14" s="266" t="s">
        <v>33</v>
      </c>
      <c r="Z14" s="52">
        <v>6</v>
      </c>
      <c r="AA14" s="219">
        <v>900</v>
      </c>
      <c r="AB14" s="192" t="str">
        <f t="shared" si="15"/>
        <v>N</v>
      </c>
      <c r="AC14" s="192" t="str">
        <f t="shared" si="6"/>
        <v>N</v>
      </c>
      <c r="AD14" s="192">
        <f t="shared" si="7"/>
        <v>900</v>
      </c>
      <c r="AE14" s="192" t="str">
        <f t="shared" si="8"/>
        <v>N</v>
      </c>
      <c r="AF14" s="192" t="str">
        <f t="shared" si="9"/>
        <v>N</v>
      </c>
      <c r="AG14" s="192" t="str">
        <f t="shared" si="10"/>
        <v>N</v>
      </c>
      <c r="AH14" s="193" t="e">
        <f t="shared" si="35"/>
        <v>#VALUE!</v>
      </c>
      <c r="AI14" s="193" t="e">
        <f t="shared" si="36"/>
        <v>#VALUE!</v>
      </c>
      <c r="AJ14" s="193">
        <f t="shared" si="37"/>
        <v>2</v>
      </c>
      <c r="AK14" s="193" t="e">
        <f t="shared" si="38"/>
        <v>#VALUE!</v>
      </c>
      <c r="AL14" s="193" t="e">
        <f t="shared" si="39"/>
        <v>#VALUE!</v>
      </c>
      <c r="AM14" s="193" t="e">
        <f t="shared" si="40"/>
        <v>#VALUE!</v>
      </c>
      <c r="AN14" s="234">
        <f t="shared" si="11"/>
        <v>2</v>
      </c>
      <c r="AO14" s="133">
        <f t="shared" si="12"/>
        <v>1720</v>
      </c>
      <c r="AP14" s="52">
        <f t="shared" si="16"/>
        <v>5</v>
      </c>
      <c r="AQ14" s="197">
        <f>AP14+(((100000-AO14)/10000000))</f>
        <v>5.009828</v>
      </c>
      <c r="AR14" s="197"/>
      <c r="AS14" s="197"/>
      <c r="AT14" s="224">
        <f>IF(G14="N",RANK(AQ14,$AQ$5:$AQ61,1),$G$58*4+1)</f>
        <v>6</v>
      </c>
      <c r="AU14" s="224"/>
      <c r="AV14" s="224"/>
      <c r="AW14" s="261">
        <f>AT14</f>
        <v>6</v>
      </c>
      <c r="AX14" s="328"/>
      <c r="AY14" s="325"/>
      <c r="AZ14" s="322"/>
    </row>
    <row r="15" spans="1:52" ht="14.25" customHeight="1">
      <c r="A15" s="275"/>
      <c r="B15" s="207"/>
      <c r="C15" s="207"/>
      <c r="D15" s="331"/>
      <c r="E15" s="50">
        <v>11</v>
      </c>
      <c r="F15" s="133" t="str">
        <f>IF('Jmený seznam'!D15,'Jmený seznam'!E15)</f>
        <v>Kepáková Natálie</v>
      </c>
      <c r="G15" s="186" t="str">
        <f t="shared" si="0"/>
        <v>N</v>
      </c>
      <c r="H15" s="190" t="s">
        <v>24</v>
      </c>
      <c r="I15" s="276" t="s">
        <v>36</v>
      </c>
      <c r="J15" s="52">
        <v>5</v>
      </c>
      <c r="K15" s="219">
        <v>1890</v>
      </c>
      <c r="L15" s="192" t="str">
        <f t="shared" si="13"/>
        <v>N</v>
      </c>
      <c r="M15" s="192" t="str">
        <f t="shared" si="1"/>
        <v>N</v>
      </c>
      <c r="N15" s="192" t="str">
        <f t="shared" si="2"/>
        <v>N</v>
      </c>
      <c r="O15" s="192" t="str">
        <f t="shared" si="3"/>
        <v>N</v>
      </c>
      <c r="P15" s="192" t="str">
        <f t="shared" si="4"/>
        <v>N</v>
      </c>
      <c r="Q15" s="192">
        <f t="shared" si="5"/>
        <v>1890</v>
      </c>
      <c r="R15" s="193" t="e">
        <f t="shared" si="29"/>
        <v>#VALUE!</v>
      </c>
      <c r="S15" s="193" t="e">
        <f t="shared" si="30"/>
        <v>#VALUE!</v>
      </c>
      <c r="T15" s="193" t="e">
        <f t="shared" si="31"/>
        <v>#VALUE!</v>
      </c>
      <c r="U15" s="193" t="e">
        <f t="shared" si="32"/>
        <v>#VALUE!</v>
      </c>
      <c r="V15" s="193" t="e">
        <f t="shared" si="33"/>
        <v>#VALUE!</v>
      </c>
      <c r="W15" s="193">
        <f t="shared" si="34"/>
        <v>1</v>
      </c>
      <c r="X15" s="234">
        <f t="shared" si="14"/>
        <v>1</v>
      </c>
      <c r="Y15" s="276" t="s">
        <v>35</v>
      </c>
      <c r="Z15" s="52">
        <v>6</v>
      </c>
      <c r="AA15" s="219">
        <v>1490</v>
      </c>
      <c r="AB15" s="192" t="str">
        <f t="shared" si="15"/>
        <v>N</v>
      </c>
      <c r="AC15" s="192" t="str">
        <f t="shared" si="6"/>
        <v>N</v>
      </c>
      <c r="AD15" s="192" t="str">
        <f t="shared" si="7"/>
        <v>N</v>
      </c>
      <c r="AE15" s="192" t="str">
        <f t="shared" si="8"/>
        <v>N</v>
      </c>
      <c r="AF15" s="192">
        <f t="shared" si="9"/>
        <v>1490</v>
      </c>
      <c r="AG15" s="192" t="str">
        <f t="shared" si="10"/>
        <v>N</v>
      </c>
      <c r="AH15" s="193" t="e">
        <f t="shared" si="35"/>
        <v>#VALUE!</v>
      </c>
      <c r="AI15" s="193" t="e">
        <f t="shared" si="36"/>
        <v>#VALUE!</v>
      </c>
      <c r="AJ15" s="193" t="e">
        <f t="shared" si="37"/>
        <v>#VALUE!</v>
      </c>
      <c r="AK15" s="193" t="e">
        <f t="shared" si="38"/>
        <v>#VALUE!</v>
      </c>
      <c r="AL15" s="193">
        <f t="shared" si="39"/>
        <v>1</v>
      </c>
      <c r="AM15" s="193" t="e">
        <f t="shared" si="40"/>
        <v>#VALUE!</v>
      </c>
      <c r="AN15" s="234">
        <f t="shared" si="11"/>
        <v>1</v>
      </c>
      <c r="AO15" s="133">
        <f t="shared" si="12"/>
        <v>3380</v>
      </c>
      <c r="AP15" s="52">
        <f t="shared" si="16"/>
        <v>2</v>
      </c>
      <c r="AQ15" s="197"/>
      <c r="AR15" s="197">
        <f>AP15+(((100000-AO15)/10000000))</f>
        <v>2.009662</v>
      </c>
      <c r="AS15" s="197"/>
      <c r="AT15" s="224"/>
      <c r="AU15" s="224">
        <f>IF(G15="N",RANK(AR15,$AR$5:$AR$52,1),$G$58+1)</f>
        <v>1</v>
      </c>
      <c r="AV15" s="224"/>
      <c r="AW15" s="261">
        <f>AU15</f>
        <v>1</v>
      </c>
      <c r="AX15" s="328"/>
      <c r="AY15" s="325"/>
      <c r="AZ15" s="322"/>
    </row>
    <row r="16" spans="1:52" ht="14.25" customHeight="1" thickBot="1">
      <c r="A16" s="275"/>
      <c r="B16" s="207"/>
      <c r="C16" s="207"/>
      <c r="D16" s="332"/>
      <c r="E16" s="138">
        <v>12</v>
      </c>
      <c r="F16" s="139" t="str">
        <f>IF('Jmený seznam'!D16,'Jmený seznam'!E16)</f>
        <v>Tichý Štefan</v>
      </c>
      <c r="G16" s="202" t="str">
        <f t="shared" si="0"/>
        <v>N</v>
      </c>
      <c r="H16" s="203" t="s">
        <v>26</v>
      </c>
      <c r="I16" s="277" t="s">
        <v>35</v>
      </c>
      <c r="J16" s="75">
        <v>5</v>
      </c>
      <c r="K16" s="220">
        <v>270</v>
      </c>
      <c r="L16" s="204" t="str">
        <f t="shared" si="13"/>
        <v>N</v>
      </c>
      <c r="M16" s="204" t="str">
        <f t="shared" si="1"/>
        <v>N</v>
      </c>
      <c r="N16" s="204" t="str">
        <f t="shared" si="2"/>
        <v>N</v>
      </c>
      <c r="O16" s="204" t="str">
        <f t="shared" si="3"/>
        <v>N</v>
      </c>
      <c r="P16" s="204">
        <f t="shared" si="4"/>
        <v>270</v>
      </c>
      <c r="Q16" s="204" t="str">
        <f t="shared" si="5"/>
        <v>N</v>
      </c>
      <c r="R16" s="193" t="e">
        <f t="shared" si="29"/>
        <v>#VALUE!</v>
      </c>
      <c r="S16" s="193" t="e">
        <f t="shared" si="30"/>
        <v>#VALUE!</v>
      </c>
      <c r="T16" s="193" t="e">
        <f t="shared" si="31"/>
        <v>#VALUE!</v>
      </c>
      <c r="U16" s="193" t="e">
        <f t="shared" si="32"/>
        <v>#VALUE!</v>
      </c>
      <c r="V16" s="193">
        <f t="shared" si="33"/>
        <v>6</v>
      </c>
      <c r="W16" s="193" t="e">
        <f t="shared" si="34"/>
        <v>#VALUE!</v>
      </c>
      <c r="X16" s="235">
        <f t="shared" si="14"/>
        <v>6</v>
      </c>
      <c r="Y16" s="277" t="s">
        <v>36</v>
      </c>
      <c r="Z16" s="75">
        <v>6</v>
      </c>
      <c r="AA16" s="220">
        <v>4180</v>
      </c>
      <c r="AB16" s="204" t="str">
        <f t="shared" si="15"/>
        <v>N</v>
      </c>
      <c r="AC16" s="204" t="str">
        <f t="shared" si="6"/>
        <v>N</v>
      </c>
      <c r="AD16" s="204" t="str">
        <f t="shared" si="7"/>
        <v>N</v>
      </c>
      <c r="AE16" s="204" t="str">
        <f t="shared" si="8"/>
        <v>N</v>
      </c>
      <c r="AF16" s="204" t="str">
        <f t="shared" si="9"/>
        <v>N</v>
      </c>
      <c r="AG16" s="204">
        <f t="shared" si="10"/>
        <v>4180</v>
      </c>
      <c r="AH16" s="193" t="e">
        <f t="shared" si="35"/>
        <v>#VALUE!</v>
      </c>
      <c r="AI16" s="193" t="e">
        <f t="shared" si="36"/>
        <v>#VALUE!</v>
      </c>
      <c r="AJ16" s="193" t="e">
        <f t="shared" si="37"/>
        <v>#VALUE!</v>
      </c>
      <c r="AK16" s="193" t="e">
        <f t="shared" si="38"/>
        <v>#VALUE!</v>
      </c>
      <c r="AL16" s="193" t="e">
        <f t="shared" si="39"/>
        <v>#VALUE!</v>
      </c>
      <c r="AM16" s="193">
        <f t="shared" si="40"/>
        <v>1</v>
      </c>
      <c r="AN16" s="235">
        <f t="shared" si="11"/>
        <v>1</v>
      </c>
      <c r="AO16" s="139">
        <f t="shared" si="12"/>
        <v>4450</v>
      </c>
      <c r="AP16" s="75">
        <f t="shared" si="16"/>
        <v>7</v>
      </c>
      <c r="AQ16" s="206"/>
      <c r="AR16" s="206"/>
      <c r="AS16" s="206">
        <f>AP16+(((100000-AO16)/10000000))</f>
        <v>7.009555</v>
      </c>
      <c r="AT16" s="224"/>
      <c r="AU16" s="224"/>
      <c r="AV16" s="224">
        <f>IF(G16="N",RANK(AS16,$AS$5:$AS$52,1),$G$58+1)</f>
        <v>2</v>
      </c>
      <c r="AW16" s="262">
        <f>AV16</f>
        <v>2</v>
      </c>
      <c r="AX16" s="345"/>
      <c r="AY16" s="326"/>
      <c r="AZ16" s="323"/>
    </row>
    <row r="17" spans="1:52" ht="15" customHeight="1">
      <c r="A17" s="275"/>
      <c r="B17" s="207"/>
      <c r="C17" s="207"/>
      <c r="D17" s="333" t="str">
        <f>IF('Jmený seznam'!D17,'Jmený seznam'!C17)</f>
        <v>Západočeský</v>
      </c>
      <c r="E17" s="67">
        <v>13</v>
      </c>
      <c r="F17" s="132" t="str">
        <f>IF('Jmený seznam'!D17,'Jmený seznam'!E17)</f>
        <v>Schleiss Jakub</v>
      </c>
      <c r="G17" s="187" t="str">
        <f t="shared" si="0"/>
        <v>N</v>
      </c>
      <c r="H17" s="189" t="s">
        <v>20</v>
      </c>
      <c r="I17" s="265" t="s">
        <v>33</v>
      </c>
      <c r="J17" s="57">
        <v>7</v>
      </c>
      <c r="K17" s="218">
        <v>1170</v>
      </c>
      <c r="L17" s="194" t="str">
        <f t="shared" si="13"/>
        <v>N</v>
      </c>
      <c r="M17" s="194" t="str">
        <f t="shared" si="1"/>
        <v>N</v>
      </c>
      <c r="N17" s="194">
        <f t="shared" si="2"/>
        <v>1170</v>
      </c>
      <c r="O17" s="194" t="str">
        <f t="shared" si="3"/>
        <v>N</v>
      </c>
      <c r="P17" s="194" t="str">
        <f t="shared" si="4"/>
        <v>N</v>
      </c>
      <c r="Q17" s="194" t="str">
        <f t="shared" si="5"/>
        <v>N</v>
      </c>
      <c r="R17" s="213" t="e">
        <f t="shared" si="29"/>
        <v>#VALUE!</v>
      </c>
      <c r="S17" s="213" t="e">
        <f t="shared" si="30"/>
        <v>#VALUE!</v>
      </c>
      <c r="T17" s="213">
        <f t="shared" si="31"/>
        <v>3</v>
      </c>
      <c r="U17" s="213" t="e">
        <f t="shared" si="32"/>
        <v>#VALUE!</v>
      </c>
      <c r="V17" s="213" t="e">
        <f t="shared" si="33"/>
        <v>#VALUE!</v>
      </c>
      <c r="W17" s="213" t="e">
        <f t="shared" si="34"/>
        <v>#VALUE!</v>
      </c>
      <c r="X17" s="233">
        <f t="shared" si="14"/>
        <v>3</v>
      </c>
      <c r="Y17" s="265" t="s">
        <v>33</v>
      </c>
      <c r="Z17" s="57">
        <v>2</v>
      </c>
      <c r="AA17" s="218">
        <v>390</v>
      </c>
      <c r="AB17" s="194" t="str">
        <f t="shared" si="15"/>
        <v>N</v>
      </c>
      <c r="AC17" s="194" t="str">
        <f t="shared" si="6"/>
        <v>N</v>
      </c>
      <c r="AD17" s="194">
        <f t="shared" si="7"/>
        <v>390</v>
      </c>
      <c r="AE17" s="194" t="str">
        <f t="shared" si="8"/>
        <v>N</v>
      </c>
      <c r="AF17" s="194" t="str">
        <f t="shared" si="9"/>
        <v>N</v>
      </c>
      <c r="AG17" s="194" t="str">
        <f t="shared" si="10"/>
        <v>N</v>
      </c>
      <c r="AH17" s="213" t="e">
        <f t="shared" si="35"/>
        <v>#VALUE!</v>
      </c>
      <c r="AI17" s="213" t="e">
        <f t="shared" si="36"/>
        <v>#VALUE!</v>
      </c>
      <c r="AJ17" s="213">
        <f t="shared" si="37"/>
        <v>4</v>
      </c>
      <c r="AK17" s="213" t="e">
        <f t="shared" si="38"/>
        <v>#VALUE!</v>
      </c>
      <c r="AL17" s="213" t="e">
        <f t="shared" si="39"/>
        <v>#VALUE!</v>
      </c>
      <c r="AM17" s="213" t="e">
        <f t="shared" si="40"/>
        <v>#VALUE!</v>
      </c>
      <c r="AN17" s="237">
        <f t="shared" si="11"/>
        <v>4</v>
      </c>
      <c r="AO17" s="200">
        <f t="shared" si="12"/>
        <v>1560</v>
      </c>
      <c r="AP17" s="57">
        <f t="shared" si="16"/>
        <v>7</v>
      </c>
      <c r="AQ17" s="198">
        <f>AP17+(((100000-AO17)/10000000))</f>
        <v>7.009844</v>
      </c>
      <c r="AR17" s="198"/>
      <c r="AS17" s="198"/>
      <c r="AT17" s="226">
        <f>IF(G17="N",RANK(AQ17,$AQ$5:$AQ64,1),$G$58*4+1)</f>
        <v>12</v>
      </c>
      <c r="AU17" s="226"/>
      <c r="AV17" s="226"/>
      <c r="AW17" s="260">
        <f>AT17</f>
        <v>12</v>
      </c>
      <c r="AX17" s="327">
        <f>SUM(AO17:AO22)</f>
        <v>18590</v>
      </c>
      <c r="AY17" s="324">
        <f>SUM(AP17:AP22)</f>
        <v>30</v>
      </c>
      <c r="AZ17" s="321">
        <f>RANK(AY17,$AY$5:$AY$52,1)</f>
        <v>1</v>
      </c>
    </row>
    <row r="18" spans="1:52" ht="14.25" customHeight="1">
      <c r="A18" s="207"/>
      <c r="B18" s="207"/>
      <c r="C18" s="207"/>
      <c r="D18" s="331"/>
      <c r="E18" s="28">
        <v>14</v>
      </c>
      <c r="F18" s="133" t="str">
        <f>IF('Jmený seznam'!D18,'Jmený seznam'!E18)</f>
        <v>Schleiss Stanislav</v>
      </c>
      <c r="G18" s="186" t="str">
        <f t="shared" si="0"/>
        <v>N</v>
      </c>
      <c r="H18" s="190" t="s">
        <v>20</v>
      </c>
      <c r="I18" s="266" t="s">
        <v>34</v>
      </c>
      <c r="J18" s="52">
        <v>7</v>
      </c>
      <c r="K18" s="219">
        <v>2040</v>
      </c>
      <c r="L18" s="192" t="str">
        <f t="shared" si="13"/>
        <v>N</v>
      </c>
      <c r="M18" s="192" t="str">
        <f t="shared" si="1"/>
        <v>N</v>
      </c>
      <c r="N18" s="192" t="str">
        <f t="shared" si="2"/>
        <v>N</v>
      </c>
      <c r="O18" s="192">
        <f t="shared" si="3"/>
        <v>2040</v>
      </c>
      <c r="P18" s="192" t="str">
        <f t="shared" si="4"/>
        <v>N</v>
      </c>
      <c r="Q18" s="192" t="str">
        <f t="shared" si="5"/>
        <v>N</v>
      </c>
      <c r="R18" s="193" t="e">
        <f t="shared" si="29"/>
        <v>#VALUE!</v>
      </c>
      <c r="S18" s="193" t="e">
        <f t="shared" si="30"/>
        <v>#VALUE!</v>
      </c>
      <c r="T18" s="193" t="e">
        <f t="shared" si="31"/>
        <v>#VALUE!</v>
      </c>
      <c r="U18" s="193">
        <f t="shared" si="32"/>
        <v>1</v>
      </c>
      <c r="V18" s="193" t="e">
        <f t="shared" si="33"/>
        <v>#VALUE!</v>
      </c>
      <c r="W18" s="193" t="e">
        <f t="shared" si="34"/>
        <v>#VALUE!</v>
      </c>
      <c r="X18" s="234">
        <f t="shared" si="14"/>
        <v>1</v>
      </c>
      <c r="Y18" s="266" t="s">
        <v>31</v>
      </c>
      <c r="Z18" s="52">
        <v>2</v>
      </c>
      <c r="AA18" s="219">
        <v>1150</v>
      </c>
      <c r="AB18" s="192">
        <f t="shared" si="15"/>
        <v>1150</v>
      </c>
      <c r="AC18" s="192" t="str">
        <f t="shared" si="6"/>
        <v>N</v>
      </c>
      <c r="AD18" s="192" t="str">
        <f t="shared" si="7"/>
        <v>N</v>
      </c>
      <c r="AE18" s="192" t="str">
        <f t="shared" si="8"/>
        <v>N</v>
      </c>
      <c r="AF18" s="192" t="str">
        <f t="shared" si="9"/>
        <v>N</v>
      </c>
      <c r="AG18" s="192" t="str">
        <f t="shared" si="10"/>
        <v>N</v>
      </c>
      <c r="AH18" s="193">
        <f t="shared" si="35"/>
        <v>2</v>
      </c>
      <c r="AI18" s="193" t="e">
        <f t="shared" si="36"/>
        <v>#VALUE!</v>
      </c>
      <c r="AJ18" s="193" t="e">
        <f t="shared" si="37"/>
        <v>#VALUE!</v>
      </c>
      <c r="AK18" s="193" t="e">
        <f t="shared" si="38"/>
        <v>#VALUE!</v>
      </c>
      <c r="AL18" s="193" t="e">
        <f t="shared" si="39"/>
        <v>#VALUE!</v>
      </c>
      <c r="AM18" s="193" t="e">
        <f t="shared" si="40"/>
        <v>#VALUE!</v>
      </c>
      <c r="AN18" s="238">
        <f t="shared" si="11"/>
        <v>2</v>
      </c>
      <c r="AO18" s="201">
        <f t="shared" si="12"/>
        <v>3190</v>
      </c>
      <c r="AP18" s="52">
        <f t="shared" si="16"/>
        <v>3</v>
      </c>
      <c r="AQ18" s="197">
        <f>AP18+(((100000-AO18)/10000000))</f>
        <v>3.009681</v>
      </c>
      <c r="AR18" s="197"/>
      <c r="AS18" s="197"/>
      <c r="AT18" s="224">
        <f>IF(G18="N",RANK(AQ18,$AQ$5:$AQ65,1),$G$58*4+1)</f>
        <v>3</v>
      </c>
      <c r="AU18" s="224"/>
      <c r="AV18" s="224"/>
      <c r="AW18" s="261">
        <f>AT18</f>
        <v>3</v>
      </c>
      <c r="AX18" s="328"/>
      <c r="AY18" s="325"/>
      <c r="AZ18" s="322"/>
    </row>
    <row r="19" spans="1:52" ht="14.25" customHeight="1">
      <c r="A19" s="207"/>
      <c r="B19" s="207"/>
      <c r="C19" s="207"/>
      <c r="D19" s="331"/>
      <c r="E19" s="28">
        <v>15</v>
      </c>
      <c r="F19" s="133" t="str">
        <f>IF('Jmený seznam'!D19,'Jmený seznam'!E19)</f>
        <v>Vejvančický Matěj</v>
      </c>
      <c r="G19" s="186" t="str">
        <f t="shared" si="0"/>
        <v>N</v>
      </c>
      <c r="H19" s="190" t="s">
        <v>20</v>
      </c>
      <c r="I19" s="266" t="s">
        <v>32</v>
      </c>
      <c r="J19" s="52">
        <v>7</v>
      </c>
      <c r="K19" s="219">
        <v>4220</v>
      </c>
      <c r="L19" s="192" t="str">
        <f t="shared" si="13"/>
        <v>N</v>
      </c>
      <c r="M19" s="192">
        <f t="shared" si="1"/>
        <v>4220</v>
      </c>
      <c r="N19" s="192" t="str">
        <f t="shared" si="2"/>
        <v>N</v>
      </c>
      <c r="O19" s="192" t="str">
        <f t="shared" si="3"/>
        <v>N</v>
      </c>
      <c r="P19" s="192" t="str">
        <f t="shared" si="4"/>
        <v>N</v>
      </c>
      <c r="Q19" s="192" t="str">
        <f t="shared" si="5"/>
        <v>N</v>
      </c>
      <c r="R19" s="193" t="e">
        <f t="shared" si="29"/>
        <v>#VALUE!</v>
      </c>
      <c r="S19" s="193">
        <f t="shared" si="30"/>
        <v>1</v>
      </c>
      <c r="T19" s="193" t="e">
        <f t="shared" si="31"/>
        <v>#VALUE!</v>
      </c>
      <c r="U19" s="193" t="e">
        <f t="shared" si="32"/>
        <v>#VALUE!</v>
      </c>
      <c r="V19" s="193" t="e">
        <f t="shared" si="33"/>
        <v>#VALUE!</v>
      </c>
      <c r="W19" s="193" t="e">
        <f t="shared" si="34"/>
        <v>#VALUE!</v>
      </c>
      <c r="X19" s="234">
        <f t="shared" si="14"/>
        <v>1</v>
      </c>
      <c r="Y19" s="266" t="s">
        <v>32</v>
      </c>
      <c r="Z19" s="52">
        <v>2</v>
      </c>
      <c r="AA19" s="219">
        <v>2540</v>
      </c>
      <c r="AB19" s="192" t="str">
        <f t="shared" si="15"/>
        <v>N</v>
      </c>
      <c r="AC19" s="192">
        <f t="shared" si="6"/>
        <v>2540</v>
      </c>
      <c r="AD19" s="192" t="str">
        <f t="shared" si="7"/>
        <v>N</v>
      </c>
      <c r="AE19" s="192" t="str">
        <f t="shared" si="8"/>
        <v>N</v>
      </c>
      <c r="AF19" s="192" t="str">
        <f t="shared" si="9"/>
        <v>N</v>
      </c>
      <c r="AG19" s="192" t="str">
        <f t="shared" si="10"/>
        <v>N</v>
      </c>
      <c r="AH19" s="193" t="e">
        <f t="shared" si="35"/>
        <v>#VALUE!</v>
      </c>
      <c r="AI19" s="193">
        <f t="shared" si="36"/>
        <v>1</v>
      </c>
      <c r="AJ19" s="193" t="e">
        <f t="shared" si="37"/>
        <v>#VALUE!</v>
      </c>
      <c r="AK19" s="193" t="e">
        <f t="shared" si="38"/>
        <v>#VALUE!</v>
      </c>
      <c r="AL19" s="193" t="e">
        <f t="shared" si="39"/>
        <v>#VALUE!</v>
      </c>
      <c r="AM19" s="193" t="e">
        <f t="shared" si="40"/>
        <v>#VALUE!</v>
      </c>
      <c r="AN19" s="238">
        <f t="shared" si="11"/>
        <v>1</v>
      </c>
      <c r="AO19" s="201">
        <f t="shared" si="12"/>
        <v>6760</v>
      </c>
      <c r="AP19" s="52">
        <f t="shared" si="16"/>
        <v>2</v>
      </c>
      <c r="AQ19" s="197">
        <f>AP19+(((100000-AO19)/10000000))</f>
        <v>2.009324</v>
      </c>
      <c r="AR19" s="197"/>
      <c r="AS19" s="197"/>
      <c r="AT19" s="224">
        <f>IF(G19="N",RANK(AQ19,$AQ$5:$AQ66,1),$G$58*4+1)</f>
        <v>1</v>
      </c>
      <c r="AU19" s="224"/>
      <c r="AV19" s="224"/>
      <c r="AW19" s="261">
        <f>AT19</f>
        <v>1</v>
      </c>
      <c r="AX19" s="328"/>
      <c r="AY19" s="325"/>
      <c r="AZ19" s="322"/>
    </row>
    <row r="20" spans="1:52" ht="14.25" customHeight="1">
      <c r="A20" s="207"/>
      <c r="B20" s="207"/>
      <c r="C20" s="207"/>
      <c r="D20" s="331"/>
      <c r="E20" s="28">
        <v>16</v>
      </c>
      <c r="F20" s="133" t="str">
        <f>IF('Jmený seznam'!D20,'Jmený seznam'!E20)</f>
        <v>Havránek David</v>
      </c>
      <c r="G20" s="186" t="str">
        <f t="shared" si="0"/>
        <v>N</v>
      </c>
      <c r="H20" s="190" t="s">
        <v>20</v>
      </c>
      <c r="I20" s="266" t="s">
        <v>31</v>
      </c>
      <c r="J20" s="52">
        <v>7</v>
      </c>
      <c r="K20" s="219">
        <v>1000</v>
      </c>
      <c r="L20" s="192">
        <f t="shared" si="13"/>
        <v>1000</v>
      </c>
      <c r="M20" s="192" t="str">
        <f t="shared" si="1"/>
        <v>N</v>
      </c>
      <c r="N20" s="192" t="str">
        <f t="shared" si="2"/>
        <v>N</v>
      </c>
      <c r="O20" s="192" t="str">
        <f t="shared" si="3"/>
        <v>N</v>
      </c>
      <c r="P20" s="192" t="str">
        <f t="shared" si="4"/>
        <v>N</v>
      </c>
      <c r="Q20" s="192" t="str">
        <f t="shared" si="5"/>
        <v>N</v>
      </c>
      <c r="R20" s="193">
        <f t="shared" si="29"/>
        <v>4</v>
      </c>
      <c r="S20" s="193" t="e">
        <f t="shared" si="30"/>
        <v>#VALUE!</v>
      </c>
      <c r="T20" s="193" t="e">
        <f t="shared" si="31"/>
        <v>#VALUE!</v>
      </c>
      <c r="U20" s="193" t="e">
        <f t="shared" si="32"/>
        <v>#VALUE!</v>
      </c>
      <c r="V20" s="193" t="e">
        <f t="shared" si="33"/>
        <v>#VALUE!</v>
      </c>
      <c r="W20" s="193" t="e">
        <f t="shared" si="34"/>
        <v>#VALUE!</v>
      </c>
      <c r="X20" s="234">
        <f t="shared" si="14"/>
        <v>4</v>
      </c>
      <c r="Y20" s="266" t="s">
        <v>34</v>
      </c>
      <c r="Z20" s="52">
        <v>2</v>
      </c>
      <c r="AA20" s="219">
        <v>1030</v>
      </c>
      <c r="AB20" s="192" t="str">
        <f t="shared" si="15"/>
        <v>N</v>
      </c>
      <c r="AC20" s="192" t="str">
        <f t="shared" si="6"/>
        <v>N</v>
      </c>
      <c r="AD20" s="192" t="str">
        <f t="shared" si="7"/>
        <v>N</v>
      </c>
      <c r="AE20" s="192">
        <f t="shared" si="8"/>
        <v>1030</v>
      </c>
      <c r="AF20" s="192" t="str">
        <f t="shared" si="9"/>
        <v>N</v>
      </c>
      <c r="AG20" s="192" t="str">
        <f t="shared" si="10"/>
        <v>N</v>
      </c>
      <c r="AH20" s="193" t="e">
        <f t="shared" si="35"/>
        <v>#VALUE!</v>
      </c>
      <c r="AI20" s="193" t="e">
        <f t="shared" si="36"/>
        <v>#VALUE!</v>
      </c>
      <c r="AJ20" s="193" t="e">
        <f t="shared" si="37"/>
        <v>#VALUE!</v>
      </c>
      <c r="AK20" s="193">
        <f t="shared" si="38"/>
        <v>3</v>
      </c>
      <c r="AL20" s="193" t="e">
        <f t="shared" si="39"/>
        <v>#VALUE!</v>
      </c>
      <c r="AM20" s="193" t="e">
        <f t="shared" si="40"/>
        <v>#VALUE!</v>
      </c>
      <c r="AN20" s="238">
        <f t="shared" si="11"/>
        <v>3</v>
      </c>
      <c r="AO20" s="201">
        <f t="shared" si="12"/>
        <v>2030</v>
      </c>
      <c r="AP20" s="52">
        <f t="shared" si="16"/>
        <v>7</v>
      </c>
      <c r="AQ20" s="197">
        <f>AP20+(((100000-AO20)/10000000))</f>
        <v>7.009797</v>
      </c>
      <c r="AR20" s="197"/>
      <c r="AS20" s="197"/>
      <c r="AT20" s="224">
        <f>IF(G20="N",RANK(AQ20,$AQ$5:$AQ67,1),$G$58*4+1)</f>
        <v>11</v>
      </c>
      <c r="AU20" s="224"/>
      <c r="AV20" s="224"/>
      <c r="AW20" s="261">
        <f>AT20</f>
        <v>11</v>
      </c>
      <c r="AX20" s="328"/>
      <c r="AY20" s="325"/>
      <c r="AZ20" s="322"/>
    </row>
    <row r="21" spans="1:52" ht="14.25" customHeight="1">
      <c r="A21" s="207"/>
      <c r="B21" s="207"/>
      <c r="C21" s="207"/>
      <c r="D21" s="331"/>
      <c r="E21" s="28">
        <v>17</v>
      </c>
      <c r="F21" s="133" t="str">
        <f>IF('Jmený seznam'!D21,'Jmený seznam'!E21)</f>
        <v>Hynčíková Nina</v>
      </c>
      <c r="G21" s="186" t="str">
        <f t="shared" si="0"/>
        <v>N</v>
      </c>
      <c r="H21" s="190" t="s">
        <v>24</v>
      </c>
      <c r="I21" s="266" t="s">
        <v>36</v>
      </c>
      <c r="J21" s="52">
        <v>7</v>
      </c>
      <c r="K21" s="221">
        <v>1505</v>
      </c>
      <c r="L21" s="192" t="str">
        <f t="shared" si="13"/>
        <v>N</v>
      </c>
      <c r="M21" s="192" t="str">
        <f t="shared" si="1"/>
        <v>N</v>
      </c>
      <c r="N21" s="192" t="str">
        <f t="shared" si="2"/>
        <v>N</v>
      </c>
      <c r="O21" s="192" t="str">
        <f t="shared" si="3"/>
        <v>N</v>
      </c>
      <c r="P21" s="192" t="str">
        <f t="shared" si="4"/>
        <v>N</v>
      </c>
      <c r="Q21" s="192">
        <f t="shared" si="5"/>
        <v>1505</v>
      </c>
      <c r="R21" s="193" t="e">
        <f t="shared" si="29"/>
        <v>#VALUE!</v>
      </c>
      <c r="S21" s="193" t="e">
        <f t="shared" si="30"/>
        <v>#VALUE!</v>
      </c>
      <c r="T21" s="193" t="e">
        <f t="shared" si="31"/>
        <v>#VALUE!</v>
      </c>
      <c r="U21" s="193" t="e">
        <f t="shared" si="32"/>
        <v>#VALUE!</v>
      </c>
      <c r="V21" s="193" t="e">
        <f t="shared" si="33"/>
        <v>#VALUE!</v>
      </c>
      <c r="W21" s="193">
        <f t="shared" si="34"/>
        <v>2</v>
      </c>
      <c r="X21" s="234">
        <f t="shared" si="14"/>
        <v>2</v>
      </c>
      <c r="Y21" s="266" t="s">
        <v>35</v>
      </c>
      <c r="Z21" s="52">
        <v>2</v>
      </c>
      <c r="AA21" s="221">
        <v>460</v>
      </c>
      <c r="AB21" s="192" t="str">
        <f t="shared" si="15"/>
        <v>N</v>
      </c>
      <c r="AC21" s="192" t="str">
        <f t="shared" si="6"/>
        <v>N</v>
      </c>
      <c r="AD21" s="192" t="str">
        <f t="shared" si="7"/>
        <v>N</v>
      </c>
      <c r="AE21" s="192" t="str">
        <f t="shared" si="8"/>
        <v>N</v>
      </c>
      <c r="AF21" s="192">
        <f t="shared" si="9"/>
        <v>460</v>
      </c>
      <c r="AG21" s="192" t="str">
        <f t="shared" si="10"/>
        <v>N</v>
      </c>
      <c r="AH21" s="193" t="e">
        <f t="shared" si="35"/>
        <v>#VALUE!</v>
      </c>
      <c r="AI21" s="193" t="e">
        <f t="shared" si="36"/>
        <v>#VALUE!</v>
      </c>
      <c r="AJ21" s="193" t="e">
        <f t="shared" si="37"/>
        <v>#VALUE!</v>
      </c>
      <c r="AK21" s="193" t="e">
        <f t="shared" si="38"/>
        <v>#VALUE!</v>
      </c>
      <c r="AL21" s="193">
        <f t="shared" si="39"/>
        <v>2</v>
      </c>
      <c r="AM21" s="193" t="e">
        <f t="shared" si="40"/>
        <v>#VALUE!</v>
      </c>
      <c r="AN21" s="238">
        <f t="shared" si="11"/>
        <v>2</v>
      </c>
      <c r="AO21" s="201">
        <f t="shared" si="12"/>
        <v>1965</v>
      </c>
      <c r="AP21" s="52">
        <f t="shared" si="16"/>
        <v>4</v>
      </c>
      <c r="AQ21" s="197"/>
      <c r="AR21" s="197">
        <f>AP21+(((100000-AO21)/10000000))</f>
        <v>4.0098035</v>
      </c>
      <c r="AS21" s="197"/>
      <c r="AT21" s="224"/>
      <c r="AU21" s="224">
        <f>IF(G21="N",RANK(AR21,$AR$5:$AR$52,1),$G$58+1)</f>
        <v>2</v>
      </c>
      <c r="AV21" s="224"/>
      <c r="AW21" s="261">
        <f>AU21</f>
        <v>2</v>
      </c>
      <c r="AX21" s="328"/>
      <c r="AY21" s="325"/>
      <c r="AZ21" s="322"/>
    </row>
    <row r="22" spans="1:52" ht="14.25" customHeight="1" thickBot="1">
      <c r="A22" s="207"/>
      <c r="B22" s="207"/>
      <c r="C22" s="207"/>
      <c r="D22" s="332"/>
      <c r="E22" s="29">
        <v>18</v>
      </c>
      <c r="F22" s="139" t="str">
        <f>IF('Jmený seznam'!D22,'Jmený seznam'!E22)</f>
        <v>Holub Ondřej</v>
      </c>
      <c r="G22" s="202" t="str">
        <f t="shared" si="0"/>
        <v>N</v>
      </c>
      <c r="H22" s="203" t="s">
        <v>26</v>
      </c>
      <c r="I22" s="267" t="s">
        <v>35</v>
      </c>
      <c r="J22" s="75">
        <v>7</v>
      </c>
      <c r="K22" s="220">
        <v>1495</v>
      </c>
      <c r="L22" s="204" t="str">
        <f t="shared" si="13"/>
        <v>N</v>
      </c>
      <c r="M22" s="204" t="str">
        <f t="shared" si="1"/>
        <v>N</v>
      </c>
      <c r="N22" s="204" t="str">
        <f t="shared" si="2"/>
        <v>N</v>
      </c>
      <c r="O22" s="204" t="str">
        <f t="shared" si="3"/>
        <v>N</v>
      </c>
      <c r="P22" s="204">
        <f t="shared" si="4"/>
        <v>1495</v>
      </c>
      <c r="Q22" s="204" t="str">
        <f t="shared" si="5"/>
        <v>N</v>
      </c>
      <c r="R22" s="193" t="e">
        <f t="shared" si="29"/>
        <v>#VALUE!</v>
      </c>
      <c r="S22" s="193" t="e">
        <f t="shared" si="30"/>
        <v>#VALUE!</v>
      </c>
      <c r="T22" s="193" t="e">
        <f t="shared" si="31"/>
        <v>#VALUE!</v>
      </c>
      <c r="U22" s="193" t="e">
        <f t="shared" si="32"/>
        <v>#VALUE!</v>
      </c>
      <c r="V22" s="193">
        <f t="shared" si="33"/>
        <v>2</v>
      </c>
      <c r="W22" s="193" t="e">
        <f t="shared" si="34"/>
        <v>#VALUE!</v>
      </c>
      <c r="X22" s="235">
        <f t="shared" si="14"/>
        <v>2</v>
      </c>
      <c r="Y22" s="267" t="s">
        <v>36</v>
      </c>
      <c r="Z22" s="75">
        <v>2</v>
      </c>
      <c r="AA22" s="220">
        <v>1590</v>
      </c>
      <c r="AB22" s="204" t="str">
        <f t="shared" si="15"/>
        <v>N</v>
      </c>
      <c r="AC22" s="204" t="str">
        <f t="shared" si="6"/>
        <v>N</v>
      </c>
      <c r="AD22" s="204" t="str">
        <f t="shared" si="7"/>
        <v>N</v>
      </c>
      <c r="AE22" s="204" t="str">
        <f t="shared" si="8"/>
        <v>N</v>
      </c>
      <c r="AF22" s="204" t="str">
        <f t="shared" si="9"/>
        <v>N</v>
      </c>
      <c r="AG22" s="204">
        <f t="shared" si="10"/>
        <v>1590</v>
      </c>
      <c r="AH22" s="193" t="e">
        <f t="shared" si="35"/>
        <v>#VALUE!</v>
      </c>
      <c r="AI22" s="193" t="e">
        <f t="shared" si="36"/>
        <v>#VALUE!</v>
      </c>
      <c r="AJ22" s="193" t="e">
        <f t="shared" si="37"/>
        <v>#VALUE!</v>
      </c>
      <c r="AK22" s="193" t="e">
        <f t="shared" si="38"/>
        <v>#VALUE!</v>
      </c>
      <c r="AL22" s="193" t="e">
        <f t="shared" si="39"/>
        <v>#VALUE!</v>
      </c>
      <c r="AM22" s="193">
        <f t="shared" si="40"/>
        <v>5</v>
      </c>
      <c r="AN22" s="239">
        <f t="shared" si="11"/>
        <v>5</v>
      </c>
      <c r="AO22" s="205">
        <f t="shared" si="12"/>
        <v>3085</v>
      </c>
      <c r="AP22" s="75">
        <f t="shared" si="16"/>
        <v>7</v>
      </c>
      <c r="AQ22" s="206"/>
      <c r="AR22" s="206"/>
      <c r="AS22" s="206">
        <f>AP22+(((100000-AO22)/10000000))</f>
        <v>7.0096915</v>
      </c>
      <c r="AT22" s="224"/>
      <c r="AU22" s="224"/>
      <c r="AV22" s="224">
        <f>IF(G22="N",RANK(AS22,$AS$5:$AS$52,1),$G$58+1)</f>
        <v>3</v>
      </c>
      <c r="AW22" s="262">
        <f>AV22</f>
        <v>3</v>
      </c>
      <c r="AX22" s="345"/>
      <c r="AY22" s="326"/>
      <c r="AZ22" s="323"/>
    </row>
    <row r="23" spans="1:52" ht="15" customHeight="1">
      <c r="A23" s="207"/>
      <c r="B23" s="207"/>
      <c r="C23" s="207"/>
      <c r="D23" s="333" t="str">
        <f>IF('Jmený seznam'!D23,'Jmený seznam'!C23)</f>
        <v>MRS Brno</v>
      </c>
      <c r="E23" s="67">
        <v>19</v>
      </c>
      <c r="F23" s="132" t="str">
        <f>IF('Jmený seznam'!D23,'Jmený seznam'!E23)</f>
        <v>Honzírek Ondřej</v>
      </c>
      <c r="G23" s="187" t="str">
        <f t="shared" si="0"/>
        <v>N</v>
      </c>
      <c r="H23" s="189" t="s">
        <v>20</v>
      </c>
      <c r="I23" s="265" t="s">
        <v>32</v>
      </c>
      <c r="J23" s="57">
        <v>1</v>
      </c>
      <c r="K23" s="218">
        <v>1530</v>
      </c>
      <c r="L23" s="194" t="str">
        <f t="shared" si="13"/>
        <v>N</v>
      </c>
      <c r="M23" s="194">
        <f t="shared" si="1"/>
        <v>1530</v>
      </c>
      <c r="N23" s="194" t="str">
        <f t="shared" si="2"/>
        <v>N</v>
      </c>
      <c r="O23" s="194" t="str">
        <f t="shared" si="3"/>
        <v>N</v>
      </c>
      <c r="P23" s="194" t="str">
        <f t="shared" si="4"/>
        <v>N</v>
      </c>
      <c r="Q23" s="194" t="str">
        <f t="shared" si="5"/>
        <v>N</v>
      </c>
      <c r="R23" s="213" t="e">
        <f t="shared" si="29"/>
        <v>#VALUE!</v>
      </c>
      <c r="S23" s="213">
        <f t="shared" si="30"/>
        <v>2</v>
      </c>
      <c r="T23" s="213" t="e">
        <f t="shared" si="31"/>
        <v>#VALUE!</v>
      </c>
      <c r="U23" s="213" t="e">
        <f t="shared" si="32"/>
        <v>#VALUE!</v>
      </c>
      <c r="V23" s="213" t="e">
        <f t="shared" si="33"/>
        <v>#VALUE!</v>
      </c>
      <c r="W23" s="213" t="e">
        <f t="shared" si="34"/>
        <v>#VALUE!</v>
      </c>
      <c r="X23" s="233">
        <f t="shared" si="14"/>
        <v>2</v>
      </c>
      <c r="Y23" s="265" t="s">
        <v>33</v>
      </c>
      <c r="Z23" s="57">
        <v>3</v>
      </c>
      <c r="AA23" s="218">
        <v>230</v>
      </c>
      <c r="AB23" s="194" t="str">
        <f t="shared" si="15"/>
        <v>N</v>
      </c>
      <c r="AC23" s="194" t="str">
        <f t="shared" si="6"/>
        <v>N</v>
      </c>
      <c r="AD23" s="194">
        <f t="shared" si="7"/>
        <v>230</v>
      </c>
      <c r="AE23" s="194" t="str">
        <f t="shared" si="8"/>
        <v>N</v>
      </c>
      <c r="AF23" s="194" t="str">
        <f t="shared" si="9"/>
        <v>N</v>
      </c>
      <c r="AG23" s="194" t="str">
        <f t="shared" si="10"/>
        <v>N</v>
      </c>
      <c r="AH23" s="213" t="e">
        <f t="shared" si="35"/>
        <v>#VALUE!</v>
      </c>
      <c r="AI23" s="213" t="e">
        <f t="shared" si="36"/>
        <v>#VALUE!</v>
      </c>
      <c r="AJ23" s="213">
        <f t="shared" si="37"/>
        <v>6</v>
      </c>
      <c r="AK23" s="213" t="e">
        <f t="shared" si="38"/>
        <v>#VALUE!</v>
      </c>
      <c r="AL23" s="213" t="e">
        <f t="shared" si="39"/>
        <v>#VALUE!</v>
      </c>
      <c r="AM23" s="213" t="e">
        <f t="shared" si="40"/>
        <v>#VALUE!</v>
      </c>
      <c r="AN23" s="233">
        <f t="shared" si="11"/>
        <v>6</v>
      </c>
      <c r="AO23" s="132">
        <f t="shared" si="12"/>
        <v>1760</v>
      </c>
      <c r="AP23" s="57">
        <f t="shared" si="16"/>
        <v>8</v>
      </c>
      <c r="AQ23" s="198">
        <f>AP23+(((100000-AO23)/10000000))</f>
        <v>8.009824</v>
      </c>
      <c r="AR23" s="198"/>
      <c r="AS23" s="198"/>
      <c r="AT23" s="226">
        <f>IF(G23="N",RANK(AQ23,$AQ$5:$AQ70,1),$G$58*4+1)</f>
        <v>15</v>
      </c>
      <c r="AU23" s="226"/>
      <c r="AV23" s="226"/>
      <c r="AW23" s="260">
        <f>AT23</f>
        <v>15</v>
      </c>
      <c r="AX23" s="327">
        <f>SUM(AO23:AO28)</f>
        <v>17820</v>
      </c>
      <c r="AY23" s="324">
        <f>SUM(AP23:AP28)</f>
        <v>54</v>
      </c>
      <c r="AZ23" s="321">
        <f>RANK(AY23,$AY$5:$AY$52,1)</f>
        <v>4</v>
      </c>
    </row>
    <row r="24" spans="1:52" ht="14.25" customHeight="1">
      <c r="A24" s="207"/>
      <c r="B24" s="207"/>
      <c r="C24" s="207"/>
      <c r="D24" s="331"/>
      <c r="E24" s="28">
        <v>20</v>
      </c>
      <c r="F24" s="133" t="str">
        <f>IF('Jmený seznam'!D24,'Jmený seznam'!E24)</f>
        <v>Bombera Jan</v>
      </c>
      <c r="G24" s="186" t="str">
        <f t="shared" si="0"/>
        <v>N</v>
      </c>
      <c r="H24" s="190" t="s">
        <v>20</v>
      </c>
      <c r="I24" s="266" t="s">
        <v>31</v>
      </c>
      <c r="J24" s="52">
        <v>1</v>
      </c>
      <c r="K24" s="219">
        <v>7000</v>
      </c>
      <c r="L24" s="192">
        <f t="shared" si="13"/>
        <v>7000</v>
      </c>
      <c r="M24" s="192" t="str">
        <f t="shared" si="1"/>
        <v>N</v>
      </c>
      <c r="N24" s="192" t="str">
        <f t="shared" si="2"/>
        <v>N</v>
      </c>
      <c r="O24" s="192" t="str">
        <f t="shared" si="3"/>
        <v>N</v>
      </c>
      <c r="P24" s="192" t="str">
        <f t="shared" si="4"/>
        <v>N</v>
      </c>
      <c r="Q24" s="192" t="str">
        <f t="shared" si="5"/>
        <v>N</v>
      </c>
      <c r="R24" s="193">
        <f t="shared" si="29"/>
        <v>1</v>
      </c>
      <c r="S24" s="193" t="e">
        <f t="shared" si="30"/>
        <v>#VALUE!</v>
      </c>
      <c r="T24" s="193" t="e">
        <f t="shared" si="31"/>
        <v>#VALUE!</v>
      </c>
      <c r="U24" s="193" t="e">
        <f t="shared" si="32"/>
        <v>#VALUE!</v>
      </c>
      <c r="V24" s="193" t="e">
        <f t="shared" si="33"/>
        <v>#VALUE!</v>
      </c>
      <c r="W24" s="193" t="e">
        <f t="shared" si="34"/>
        <v>#VALUE!</v>
      </c>
      <c r="X24" s="234">
        <f t="shared" si="14"/>
        <v>1</v>
      </c>
      <c r="Y24" s="266" t="s">
        <v>32</v>
      </c>
      <c r="Z24" s="52">
        <v>3</v>
      </c>
      <c r="AA24" s="219">
        <v>1230</v>
      </c>
      <c r="AB24" s="192" t="str">
        <f t="shared" si="15"/>
        <v>N</v>
      </c>
      <c r="AC24" s="192">
        <f t="shared" si="6"/>
        <v>1230</v>
      </c>
      <c r="AD24" s="192" t="str">
        <f t="shared" si="7"/>
        <v>N</v>
      </c>
      <c r="AE24" s="192" t="str">
        <f t="shared" si="8"/>
        <v>N</v>
      </c>
      <c r="AF24" s="192" t="str">
        <f t="shared" si="9"/>
        <v>N</v>
      </c>
      <c r="AG24" s="192" t="str">
        <f t="shared" si="10"/>
        <v>N</v>
      </c>
      <c r="AH24" s="193" t="e">
        <f t="shared" si="35"/>
        <v>#VALUE!</v>
      </c>
      <c r="AI24" s="193">
        <f t="shared" si="36"/>
        <v>5</v>
      </c>
      <c r="AJ24" s="193" t="e">
        <f t="shared" si="37"/>
        <v>#VALUE!</v>
      </c>
      <c r="AK24" s="193" t="e">
        <f t="shared" si="38"/>
        <v>#VALUE!</v>
      </c>
      <c r="AL24" s="193" t="e">
        <f t="shared" si="39"/>
        <v>#VALUE!</v>
      </c>
      <c r="AM24" s="193" t="e">
        <f t="shared" si="40"/>
        <v>#VALUE!</v>
      </c>
      <c r="AN24" s="234">
        <f t="shared" si="11"/>
        <v>5</v>
      </c>
      <c r="AO24" s="133">
        <f t="shared" si="12"/>
        <v>8230</v>
      </c>
      <c r="AP24" s="52">
        <f t="shared" si="16"/>
        <v>6</v>
      </c>
      <c r="AQ24" s="197">
        <f>AP24+(((100000-AO24)/10000000))</f>
        <v>6.009177</v>
      </c>
      <c r="AR24" s="197"/>
      <c r="AS24" s="197"/>
      <c r="AT24" s="224">
        <f>IF(G24="N",RANK(AQ24,$AQ$5:$AQ71,1),$G$58*4+1)</f>
        <v>7</v>
      </c>
      <c r="AU24" s="224"/>
      <c r="AV24" s="224"/>
      <c r="AW24" s="261">
        <f>AT24</f>
        <v>7</v>
      </c>
      <c r="AX24" s="328"/>
      <c r="AY24" s="325"/>
      <c r="AZ24" s="322"/>
    </row>
    <row r="25" spans="1:52" ht="14.25" customHeight="1">
      <c r="A25" s="207"/>
      <c r="B25" s="207"/>
      <c r="C25" s="207"/>
      <c r="D25" s="331"/>
      <c r="E25" s="28">
        <v>21</v>
      </c>
      <c r="F25" s="133" t="str">
        <f>IF('Jmený seznam'!D25,'Jmený seznam'!E25)</f>
        <v>Traj Robert</v>
      </c>
      <c r="G25" s="186" t="str">
        <f t="shared" si="0"/>
        <v>N</v>
      </c>
      <c r="H25" s="190" t="s">
        <v>20</v>
      </c>
      <c r="I25" s="266" t="s">
        <v>33</v>
      </c>
      <c r="J25" s="52">
        <v>1</v>
      </c>
      <c r="K25" s="219">
        <v>2640</v>
      </c>
      <c r="L25" s="192" t="str">
        <f t="shared" si="13"/>
        <v>N</v>
      </c>
      <c r="M25" s="192" t="str">
        <f t="shared" si="1"/>
        <v>N</v>
      </c>
      <c r="N25" s="192">
        <f t="shared" si="2"/>
        <v>2640</v>
      </c>
      <c r="O25" s="192" t="str">
        <f t="shared" si="3"/>
        <v>N</v>
      </c>
      <c r="P25" s="192" t="str">
        <f t="shared" si="4"/>
        <v>N</v>
      </c>
      <c r="Q25" s="192" t="str">
        <f t="shared" si="5"/>
        <v>N</v>
      </c>
      <c r="R25" s="193" t="e">
        <f t="shared" si="29"/>
        <v>#VALUE!</v>
      </c>
      <c r="S25" s="193" t="e">
        <f t="shared" si="30"/>
        <v>#VALUE!</v>
      </c>
      <c r="T25" s="193">
        <f t="shared" si="31"/>
        <v>2</v>
      </c>
      <c r="U25" s="193" t="e">
        <f t="shared" si="32"/>
        <v>#VALUE!</v>
      </c>
      <c r="V25" s="193" t="e">
        <f t="shared" si="33"/>
        <v>#VALUE!</v>
      </c>
      <c r="W25" s="193" t="e">
        <f t="shared" si="34"/>
        <v>#VALUE!</v>
      </c>
      <c r="X25" s="234">
        <f t="shared" si="14"/>
        <v>2</v>
      </c>
      <c r="Y25" s="266" t="s">
        <v>31</v>
      </c>
      <c r="Z25" s="52">
        <v>3</v>
      </c>
      <c r="AA25" s="219">
        <v>10</v>
      </c>
      <c r="AB25" s="192">
        <f t="shared" si="15"/>
        <v>10</v>
      </c>
      <c r="AC25" s="192" t="str">
        <f t="shared" si="6"/>
        <v>N</v>
      </c>
      <c r="AD25" s="192" t="str">
        <f t="shared" si="7"/>
        <v>N</v>
      </c>
      <c r="AE25" s="192" t="str">
        <f t="shared" si="8"/>
        <v>N</v>
      </c>
      <c r="AF25" s="192" t="str">
        <f t="shared" si="9"/>
        <v>N</v>
      </c>
      <c r="AG25" s="192" t="str">
        <f t="shared" si="10"/>
        <v>N</v>
      </c>
      <c r="AH25" s="193">
        <f t="shared" si="35"/>
        <v>7</v>
      </c>
      <c r="AI25" s="193" t="e">
        <f t="shared" si="36"/>
        <v>#VALUE!</v>
      </c>
      <c r="AJ25" s="193" t="e">
        <f t="shared" si="37"/>
        <v>#VALUE!</v>
      </c>
      <c r="AK25" s="193" t="e">
        <f t="shared" si="38"/>
        <v>#VALUE!</v>
      </c>
      <c r="AL25" s="193" t="e">
        <f t="shared" si="39"/>
        <v>#VALUE!</v>
      </c>
      <c r="AM25" s="193" t="e">
        <f t="shared" si="40"/>
        <v>#VALUE!</v>
      </c>
      <c r="AN25" s="234">
        <f t="shared" si="11"/>
        <v>7</v>
      </c>
      <c r="AO25" s="133">
        <f t="shared" si="12"/>
        <v>2650</v>
      </c>
      <c r="AP25" s="52">
        <f t="shared" si="16"/>
        <v>9</v>
      </c>
      <c r="AQ25" s="197">
        <f>AP25+(((100000-AO25)/10000000))</f>
        <v>9.009735</v>
      </c>
      <c r="AR25" s="197"/>
      <c r="AS25" s="197"/>
      <c r="AT25" s="224">
        <f>IF(G25="N",RANK(AQ25,$AQ$5:$AQ72,1),$G$58*4+1)</f>
        <v>17</v>
      </c>
      <c r="AU25" s="224"/>
      <c r="AV25" s="224"/>
      <c r="AW25" s="261">
        <f>AT25</f>
        <v>17</v>
      </c>
      <c r="AX25" s="328"/>
      <c r="AY25" s="325"/>
      <c r="AZ25" s="322"/>
    </row>
    <row r="26" spans="1:52" ht="14.25" customHeight="1">
      <c r="A26" s="207"/>
      <c r="B26" s="207"/>
      <c r="C26" s="207"/>
      <c r="D26" s="331"/>
      <c r="E26" s="28">
        <v>22</v>
      </c>
      <c r="F26" s="133" t="str">
        <f>IF('Jmený seznam'!D26,'Jmený seznam'!E26)</f>
        <v>Juříček Jakub</v>
      </c>
      <c r="G26" s="186" t="str">
        <f t="shared" si="0"/>
        <v>N</v>
      </c>
      <c r="H26" s="190" t="s">
        <v>20</v>
      </c>
      <c r="I26" s="266" t="s">
        <v>34</v>
      </c>
      <c r="J26" s="52">
        <v>1</v>
      </c>
      <c r="K26" s="219">
        <v>225</v>
      </c>
      <c r="L26" s="192" t="str">
        <f t="shared" si="13"/>
        <v>N</v>
      </c>
      <c r="M26" s="192" t="str">
        <f t="shared" si="1"/>
        <v>N</v>
      </c>
      <c r="N26" s="192" t="str">
        <f t="shared" si="2"/>
        <v>N</v>
      </c>
      <c r="O26" s="192">
        <f t="shared" si="3"/>
        <v>225</v>
      </c>
      <c r="P26" s="192" t="str">
        <f t="shared" si="4"/>
        <v>N</v>
      </c>
      <c r="Q26" s="192" t="str">
        <f t="shared" si="5"/>
        <v>N</v>
      </c>
      <c r="R26" s="193" t="e">
        <f t="shared" si="29"/>
        <v>#VALUE!</v>
      </c>
      <c r="S26" s="193" t="e">
        <f t="shared" si="30"/>
        <v>#VALUE!</v>
      </c>
      <c r="T26" s="193" t="e">
        <f t="shared" si="31"/>
        <v>#VALUE!</v>
      </c>
      <c r="U26" s="193">
        <f t="shared" si="32"/>
        <v>6</v>
      </c>
      <c r="V26" s="193" t="e">
        <f t="shared" si="33"/>
        <v>#VALUE!</v>
      </c>
      <c r="W26" s="193" t="e">
        <f t="shared" si="34"/>
        <v>#VALUE!</v>
      </c>
      <c r="X26" s="234">
        <f t="shared" si="14"/>
        <v>6</v>
      </c>
      <c r="Y26" s="266" t="s">
        <v>34</v>
      </c>
      <c r="Z26" s="52">
        <v>3</v>
      </c>
      <c r="AA26" s="219">
        <v>2660</v>
      </c>
      <c r="AB26" s="192" t="str">
        <f t="shared" si="15"/>
        <v>N</v>
      </c>
      <c r="AC26" s="192" t="str">
        <f t="shared" si="6"/>
        <v>N</v>
      </c>
      <c r="AD26" s="192" t="str">
        <f t="shared" si="7"/>
        <v>N</v>
      </c>
      <c r="AE26" s="192">
        <f t="shared" si="8"/>
        <v>2660</v>
      </c>
      <c r="AF26" s="192" t="str">
        <f t="shared" si="9"/>
        <v>N</v>
      </c>
      <c r="AG26" s="192" t="str">
        <f t="shared" si="10"/>
        <v>N</v>
      </c>
      <c r="AH26" s="193" t="e">
        <f t="shared" si="35"/>
        <v>#VALUE!</v>
      </c>
      <c r="AI26" s="193" t="e">
        <f t="shared" si="36"/>
        <v>#VALUE!</v>
      </c>
      <c r="AJ26" s="193" t="e">
        <f t="shared" si="37"/>
        <v>#VALUE!</v>
      </c>
      <c r="AK26" s="193">
        <f t="shared" si="38"/>
        <v>1</v>
      </c>
      <c r="AL26" s="193" t="e">
        <f t="shared" si="39"/>
        <v>#VALUE!</v>
      </c>
      <c r="AM26" s="193" t="e">
        <f t="shared" si="40"/>
        <v>#VALUE!</v>
      </c>
      <c r="AN26" s="234">
        <f t="shared" si="11"/>
        <v>1</v>
      </c>
      <c r="AO26" s="133">
        <f t="shared" si="12"/>
        <v>2885</v>
      </c>
      <c r="AP26" s="52">
        <f t="shared" si="16"/>
        <v>7</v>
      </c>
      <c r="AQ26" s="197">
        <f>AP26+(((100000-AO26)/10000000))</f>
        <v>7.0097115</v>
      </c>
      <c r="AR26" s="197"/>
      <c r="AS26" s="197"/>
      <c r="AT26" s="224">
        <f>IF(G26="N",RANK(AQ26,$AQ$5:$AQ73,1),$G$58*4+1)</f>
        <v>10</v>
      </c>
      <c r="AU26" s="224"/>
      <c r="AV26" s="224"/>
      <c r="AW26" s="261">
        <f>AT26</f>
        <v>10</v>
      </c>
      <c r="AX26" s="328"/>
      <c r="AY26" s="325"/>
      <c r="AZ26" s="322"/>
    </row>
    <row r="27" spans="1:52" ht="14.25" customHeight="1">
      <c r="A27" s="207"/>
      <c r="B27" s="207"/>
      <c r="C27" s="207"/>
      <c r="D27" s="331"/>
      <c r="E27" s="28">
        <v>23</v>
      </c>
      <c r="F27" s="133" t="str">
        <f>IF('Jmený seznam'!D27,'Jmený seznam'!E27)</f>
        <v>Koblihová Kristýna</v>
      </c>
      <c r="G27" s="186" t="str">
        <f t="shared" si="0"/>
        <v>N</v>
      </c>
      <c r="H27" s="190" t="s">
        <v>24</v>
      </c>
      <c r="I27" s="266" t="s">
        <v>36</v>
      </c>
      <c r="J27" s="52">
        <v>1</v>
      </c>
      <c r="K27" s="219">
        <v>140</v>
      </c>
      <c r="L27" s="192" t="str">
        <f t="shared" si="13"/>
        <v>N</v>
      </c>
      <c r="M27" s="192" t="str">
        <f t="shared" si="1"/>
        <v>N</v>
      </c>
      <c r="N27" s="192" t="str">
        <f t="shared" si="2"/>
        <v>N</v>
      </c>
      <c r="O27" s="192" t="str">
        <f t="shared" si="3"/>
        <v>N</v>
      </c>
      <c r="P27" s="192" t="str">
        <f t="shared" si="4"/>
        <v>N</v>
      </c>
      <c r="Q27" s="192">
        <f t="shared" si="5"/>
        <v>140</v>
      </c>
      <c r="R27" s="193" t="e">
        <f t="shared" si="29"/>
        <v>#VALUE!</v>
      </c>
      <c r="S27" s="193" t="e">
        <f t="shared" si="30"/>
        <v>#VALUE!</v>
      </c>
      <c r="T27" s="193" t="e">
        <f t="shared" si="31"/>
        <v>#VALUE!</v>
      </c>
      <c r="U27" s="193" t="e">
        <f t="shared" si="32"/>
        <v>#VALUE!</v>
      </c>
      <c r="V27" s="193" t="e">
        <f t="shared" si="33"/>
        <v>#VALUE!</v>
      </c>
      <c r="W27" s="193">
        <f t="shared" si="34"/>
        <v>7</v>
      </c>
      <c r="X27" s="234">
        <f t="shared" si="14"/>
        <v>7</v>
      </c>
      <c r="Y27" s="266" t="s">
        <v>35</v>
      </c>
      <c r="Z27" s="52">
        <v>3</v>
      </c>
      <c r="AA27" s="219">
        <v>0</v>
      </c>
      <c r="AB27" s="192" t="str">
        <f t="shared" si="15"/>
        <v>N</v>
      </c>
      <c r="AC27" s="192" t="str">
        <f t="shared" si="6"/>
        <v>N</v>
      </c>
      <c r="AD27" s="192" t="str">
        <f t="shared" si="7"/>
        <v>N</v>
      </c>
      <c r="AE27" s="192" t="str">
        <f t="shared" si="8"/>
        <v>N</v>
      </c>
      <c r="AF27" s="192">
        <f t="shared" si="9"/>
        <v>0</v>
      </c>
      <c r="AG27" s="192" t="str">
        <f t="shared" si="10"/>
        <v>N</v>
      </c>
      <c r="AH27" s="193" t="e">
        <f t="shared" si="35"/>
        <v>#VALUE!</v>
      </c>
      <c r="AI27" s="193" t="e">
        <f t="shared" si="36"/>
        <v>#VALUE!</v>
      </c>
      <c r="AJ27" s="193" t="e">
        <f t="shared" si="37"/>
        <v>#VALUE!</v>
      </c>
      <c r="AK27" s="193" t="e">
        <f t="shared" si="38"/>
        <v>#VALUE!</v>
      </c>
      <c r="AL27" s="193">
        <f t="shared" si="39"/>
        <v>8</v>
      </c>
      <c r="AM27" s="193" t="e">
        <f t="shared" si="40"/>
        <v>#VALUE!</v>
      </c>
      <c r="AN27" s="234">
        <f t="shared" si="11"/>
        <v>8</v>
      </c>
      <c r="AO27" s="133">
        <f t="shared" si="12"/>
        <v>140</v>
      </c>
      <c r="AP27" s="52">
        <f t="shared" si="16"/>
        <v>15</v>
      </c>
      <c r="AQ27" s="197"/>
      <c r="AR27" s="197">
        <f>AP27+(((100000-AO27)/10000000))</f>
        <v>15.009986</v>
      </c>
      <c r="AS27" s="197"/>
      <c r="AT27" s="224"/>
      <c r="AU27" s="224">
        <f>IF(G27="N",RANK(AR27,$AR$5:$AR$52,1),$G$58+1)</f>
        <v>7</v>
      </c>
      <c r="AV27" s="224"/>
      <c r="AW27" s="261">
        <f>AU27</f>
        <v>7</v>
      </c>
      <c r="AX27" s="328"/>
      <c r="AY27" s="325"/>
      <c r="AZ27" s="322"/>
    </row>
    <row r="28" spans="1:52" ht="14.25" customHeight="1" thickBot="1">
      <c r="A28" s="207"/>
      <c r="B28" s="207"/>
      <c r="C28" s="207"/>
      <c r="D28" s="332"/>
      <c r="E28" s="29">
        <v>24</v>
      </c>
      <c r="F28" s="139" t="str">
        <f>IF('Jmený seznam'!D28,'Jmený seznam'!E28)</f>
        <v>Zavadil Radek</v>
      </c>
      <c r="G28" s="202" t="str">
        <f t="shared" si="0"/>
        <v>N</v>
      </c>
      <c r="H28" s="203" t="s">
        <v>26</v>
      </c>
      <c r="I28" s="267" t="s">
        <v>35</v>
      </c>
      <c r="J28" s="75">
        <v>1</v>
      </c>
      <c r="K28" s="220">
        <v>965</v>
      </c>
      <c r="L28" s="204" t="str">
        <f t="shared" si="13"/>
        <v>N</v>
      </c>
      <c r="M28" s="204" t="str">
        <f t="shared" si="1"/>
        <v>N</v>
      </c>
      <c r="N28" s="204" t="str">
        <f t="shared" si="2"/>
        <v>N</v>
      </c>
      <c r="O28" s="204" t="str">
        <f t="shared" si="3"/>
        <v>N</v>
      </c>
      <c r="P28" s="204">
        <f t="shared" si="4"/>
        <v>965</v>
      </c>
      <c r="Q28" s="204" t="str">
        <f t="shared" si="5"/>
        <v>N</v>
      </c>
      <c r="R28" s="193" t="e">
        <f t="shared" si="29"/>
        <v>#VALUE!</v>
      </c>
      <c r="S28" s="193" t="e">
        <f t="shared" si="30"/>
        <v>#VALUE!</v>
      </c>
      <c r="T28" s="193" t="e">
        <f t="shared" si="31"/>
        <v>#VALUE!</v>
      </c>
      <c r="U28" s="193" t="e">
        <f t="shared" si="32"/>
        <v>#VALUE!</v>
      </c>
      <c r="V28" s="193">
        <f t="shared" si="33"/>
        <v>3</v>
      </c>
      <c r="W28" s="193" t="e">
        <f t="shared" si="34"/>
        <v>#VALUE!</v>
      </c>
      <c r="X28" s="235">
        <f t="shared" si="14"/>
        <v>3</v>
      </c>
      <c r="Y28" s="267" t="s">
        <v>36</v>
      </c>
      <c r="Z28" s="75">
        <v>3</v>
      </c>
      <c r="AA28" s="220">
        <v>1190</v>
      </c>
      <c r="AB28" s="204" t="str">
        <f t="shared" si="15"/>
        <v>N</v>
      </c>
      <c r="AC28" s="204" t="str">
        <f t="shared" si="6"/>
        <v>N</v>
      </c>
      <c r="AD28" s="204" t="str">
        <f t="shared" si="7"/>
        <v>N</v>
      </c>
      <c r="AE28" s="204" t="str">
        <f t="shared" si="8"/>
        <v>N</v>
      </c>
      <c r="AF28" s="204" t="str">
        <f t="shared" si="9"/>
        <v>N</v>
      </c>
      <c r="AG28" s="204">
        <f t="shared" si="10"/>
        <v>1190</v>
      </c>
      <c r="AH28" s="193" t="e">
        <f t="shared" si="35"/>
        <v>#VALUE!</v>
      </c>
      <c r="AI28" s="193" t="e">
        <f t="shared" si="36"/>
        <v>#VALUE!</v>
      </c>
      <c r="AJ28" s="193" t="e">
        <f t="shared" si="37"/>
        <v>#VALUE!</v>
      </c>
      <c r="AK28" s="193" t="e">
        <f t="shared" si="38"/>
        <v>#VALUE!</v>
      </c>
      <c r="AL28" s="193" t="e">
        <f t="shared" si="39"/>
        <v>#VALUE!</v>
      </c>
      <c r="AM28" s="193">
        <f t="shared" si="40"/>
        <v>6</v>
      </c>
      <c r="AN28" s="235">
        <f t="shared" si="11"/>
        <v>6</v>
      </c>
      <c r="AO28" s="139">
        <f t="shared" si="12"/>
        <v>2155</v>
      </c>
      <c r="AP28" s="75">
        <f t="shared" si="16"/>
        <v>9</v>
      </c>
      <c r="AQ28" s="206"/>
      <c r="AR28" s="206"/>
      <c r="AS28" s="206">
        <f>AP28+(((100000-AO28)/10000000))</f>
        <v>9.0097845</v>
      </c>
      <c r="AT28" s="224"/>
      <c r="AU28" s="224"/>
      <c r="AV28" s="224">
        <f>IF(G28="N",RANK(AS28,$AS$5:$AS$52,1),$G$58+1)</f>
        <v>5</v>
      </c>
      <c r="AW28" s="262">
        <f>AV28</f>
        <v>5</v>
      </c>
      <c r="AX28" s="345"/>
      <c r="AY28" s="326"/>
      <c r="AZ28" s="323"/>
    </row>
    <row r="29" spans="1:52" ht="14.25" customHeight="1">
      <c r="A29" s="207"/>
      <c r="B29" s="207"/>
      <c r="C29" s="207"/>
      <c r="D29" s="333" t="str">
        <f>IF('Jmený seznam'!D29,'Jmený seznam'!C29)</f>
        <v>Východočeský</v>
      </c>
      <c r="E29" s="67">
        <v>25</v>
      </c>
      <c r="F29" s="132" t="str">
        <f>IF('Jmený seznam'!D29,'Jmený seznam'!E29)</f>
        <v>Hašek Marek</v>
      </c>
      <c r="G29" s="187" t="str">
        <f aca="true" t="shared" si="41" ref="G29:G40">IF(ISBLANK(F29),"P","N")</f>
        <v>N</v>
      </c>
      <c r="H29" s="189" t="s">
        <v>20</v>
      </c>
      <c r="I29" s="265" t="s">
        <v>33</v>
      </c>
      <c r="J29" s="57">
        <v>3</v>
      </c>
      <c r="K29" s="218">
        <v>4400</v>
      </c>
      <c r="L29" s="194" t="str">
        <f aca="true" t="shared" si="42" ref="L29:L40">IF(I29="A",K29,"N")</f>
        <v>N</v>
      </c>
      <c r="M29" s="194" t="str">
        <f aca="true" t="shared" si="43" ref="M29:M40">IF(I29="B",K29,"N")</f>
        <v>N</v>
      </c>
      <c r="N29" s="194">
        <f aca="true" t="shared" si="44" ref="N29:N40">IF(I29="C",K29,"N")</f>
        <v>4400</v>
      </c>
      <c r="O29" s="194" t="str">
        <f aca="true" t="shared" si="45" ref="O29:O40">IF(I29="D",K29,"N")</f>
        <v>N</v>
      </c>
      <c r="P29" s="194" t="str">
        <f aca="true" t="shared" si="46" ref="P29:P40">IF(I29="E",K29,"N")</f>
        <v>N</v>
      </c>
      <c r="Q29" s="194" t="str">
        <f aca="true" t="shared" si="47" ref="Q29:Q40">IF(I29="F",K29,"N")</f>
        <v>N</v>
      </c>
      <c r="R29" s="213" t="e">
        <f t="shared" si="29"/>
        <v>#VALUE!</v>
      </c>
      <c r="S29" s="213" t="e">
        <f t="shared" si="30"/>
        <v>#VALUE!</v>
      </c>
      <c r="T29" s="213">
        <f t="shared" si="31"/>
        <v>1</v>
      </c>
      <c r="U29" s="213" t="e">
        <f t="shared" si="32"/>
        <v>#VALUE!</v>
      </c>
      <c r="V29" s="213" t="e">
        <f t="shared" si="33"/>
        <v>#VALUE!</v>
      </c>
      <c r="W29" s="213" t="e">
        <f t="shared" si="34"/>
        <v>#VALUE!</v>
      </c>
      <c r="X29" s="233">
        <f aca="true" t="shared" si="48" ref="X29:X40">IF(ISNUMBER(R29),R29,IF(ISNUMBER(S29),S29,IF(ISNUMBER(T29),T29,IF(ISNUMBER(U29),U29,IF(ISNUMBER(V29),V29,IF(ISNUMBER(W29),W29,"ERROR"))))))</f>
        <v>1</v>
      </c>
      <c r="Y29" s="265" t="s">
        <v>34</v>
      </c>
      <c r="Z29" s="57">
        <v>1</v>
      </c>
      <c r="AA29" s="218">
        <v>105</v>
      </c>
      <c r="AB29" s="194" t="str">
        <f aca="true" t="shared" si="49" ref="AB29:AB40">IF(Y29="A",AA29,"N")</f>
        <v>N</v>
      </c>
      <c r="AC29" s="194" t="str">
        <f aca="true" t="shared" si="50" ref="AC29:AC40">IF(Y29="B",AA29,"N")</f>
        <v>N</v>
      </c>
      <c r="AD29" s="194" t="str">
        <f aca="true" t="shared" si="51" ref="AD29:AD40">IF(Y29="C",AA29,"N")</f>
        <v>N</v>
      </c>
      <c r="AE29" s="194">
        <f aca="true" t="shared" si="52" ref="AE29:AE40">IF(Y29="D",AA29,"N")</f>
        <v>105</v>
      </c>
      <c r="AF29" s="194" t="str">
        <f aca="true" t="shared" si="53" ref="AF29:AF40">IF(Y29="E",AA29,"N")</f>
        <v>N</v>
      </c>
      <c r="AG29" s="194" t="str">
        <f aca="true" t="shared" si="54" ref="AG29:AG40">IF(Y29="F",AA29,"N")</f>
        <v>N</v>
      </c>
      <c r="AH29" s="213" t="e">
        <f t="shared" si="35"/>
        <v>#VALUE!</v>
      </c>
      <c r="AI29" s="213" t="e">
        <f t="shared" si="36"/>
        <v>#VALUE!</v>
      </c>
      <c r="AJ29" s="213" t="e">
        <f t="shared" si="37"/>
        <v>#VALUE!</v>
      </c>
      <c r="AK29" s="213">
        <f t="shared" si="38"/>
        <v>4</v>
      </c>
      <c r="AL29" s="213" t="e">
        <f t="shared" si="39"/>
        <v>#VALUE!</v>
      </c>
      <c r="AM29" s="213" t="e">
        <f t="shared" si="40"/>
        <v>#VALUE!</v>
      </c>
      <c r="AN29" s="233">
        <f aca="true" t="shared" si="55" ref="AN29:AN40">IF(ISNUMBER(AH29),AH29,IF(ISNUMBER(AI29),AI29,IF(ISNUMBER(AJ29),AJ29,IF(ISNUMBER(AK29),AK29,IF(ISNUMBER(AL29),AL29,IF(ISNUMBER(AM29),AM29,"ERROR"))))))</f>
        <v>4</v>
      </c>
      <c r="AO29" s="132">
        <f aca="true" t="shared" si="56" ref="AO29:AO40">K29+AA29</f>
        <v>4505</v>
      </c>
      <c r="AP29" s="57">
        <f aca="true" t="shared" si="57" ref="AP29:AP40">X29+AN29</f>
        <v>5</v>
      </c>
      <c r="AQ29" s="198">
        <f>AP29+(((100000-AO29)/10000000))</f>
        <v>5.0095495</v>
      </c>
      <c r="AR29" s="198"/>
      <c r="AS29" s="198"/>
      <c r="AT29" s="226">
        <f>IF(G29="N",RANK(AQ29,$AQ$5:$AQ76,1),$G$58*4+1)</f>
        <v>4</v>
      </c>
      <c r="AU29" s="226"/>
      <c r="AV29" s="226"/>
      <c r="AW29" s="260">
        <f>AT29</f>
        <v>4</v>
      </c>
      <c r="AX29" s="327">
        <f>SUM(AO29:AO34)</f>
        <v>19730</v>
      </c>
      <c r="AY29" s="324">
        <f>SUM(AP29:AP34)</f>
        <v>33</v>
      </c>
      <c r="AZ29" s="321">
        <f>RANK(AY29,$AY$5:$AY$52,1)</f>
        <v>2</v>
      </c>
    </row>
    <row r="30" spans="4:52" ht="14.25" customHeight="1">
      <c r="D30" s="331"/>
      <c r="E30" s="28">
        <v>26</v>
      </c>
      <c r="F30" s="133" t="str">
        <f>IF('Jmený seznam'!D30,'Jmený seznam'!E30)</f>
        <v>Joneš Jan</v>
      </c>
      <c r="G30" s="186" t="str">
        <f t="shared" si="41"/>
        <v>N</v>
      </c>
      <c r="H30" s="190" t="s">
        <v>20</v>
      </c>
      <c r="I30" s="266" t="s">
        <v>32</v>
      </c>
      <c r="J30" s="52">
        <v>3</v>
      </c>
      <c r="K30" s="219">
        <v>680</v>
      </c>
      <c r="L30" s="192" t="str">
        <f t="shared" si="42"/>
        <v>N</v>
      </c>
      <c r="M30" s="192">
        <f t="shared" si="43"/>
        <v>680</v>
      </c>
      <c r="N30" s="192" t="str">
        <f t="shared" si="44"/>
        <v>N</v>
      </c>
      <c r="O30" s="192" t="str">
        <f t="shared" si="45"/>
        <v>N</v>
      </c>
      <c r="P30" s="192" t="str">
        <f t="shared" si="46"/>
        <v>N</v>
      </c>
      <c r="Q30" s="192" t="str">
        <f t="shared" si="47"/>
        <v>N</v>
      </c>
      <c r="R30" s="193" t="e">
        <f t="shared" si="29"/>
        <v>#VALUE!</v>
      </c>
      <c r="S30" s="193">
        <f t="shared" si="30"/>
        <v>6</v>
      </c>
      <c r="T30" s="193" t="e">
        <f t="shared" si="31"/>
        <v>#VALUE!</v>
      </c>
      <c r="U30" s="193" t="e">
        <f t="shared" si="32"/>
        <v>#VALUE!</v>
      </c>
      <c r="V30" s="193" t="e">
        <f t="shared" si="33"/>
        <v>#VALUE!</v>
      </c>
      <c r="W30" s="193" t="e">
        <f t="shared" si="34"/>
        <v>#VALUE!</v>
      </c>
      <c r="X30" s="234">
        <f t="shared" si="48"/>
        <v>6</v>
      </c>
      <c r="Y30" s="266" t="s">
        <v>32</v>
      </c>
      <c r="Z30" s="52">
        <v>1</v>
      </c>
      <c r="AA30" s="219">
        <v>2140</v>
      </c>
      <c r="AB30" s="192" t="str">
        <f t="shared" si="49"/>
        <v>N</v>
      </c>
      <c r="AC30" s="192">
        <f t="shared" si="50"/>
        <v>2140</v>
      </c>
      <c r="AD30" s="192" t="str">
        <f t="shared" si="51"/>
        <v>N</v>
      </c>
      <c r="AE30" s="192" t="str">
        <f t="shared" si="52"/>
        <v>N</v>
      </c>
      <c r="AF30" s="192" t="str">
        <f t="shared" si="53"/>
        <v>N</v>
      </c>
      <c r="AG30" s="192" t="str">
        <f t="shared" si="54"/>
        <v>N</v>
      </c>
      <c r="AH30" s="193" t="e">
        <f t="shared" si="35"/>
        <v>#VALUE!</v>
      </c>
      <c r="AI30" s="193">
        <f t="shared" si="36"/>
        <v>2</v>
      </c>
      <c r="AJ30" s="193" t="e">
        <f t="shared" si="37"/>
        <v>#VALUE!</v>
      </c>
      <c r="AK30" s="193" t="e">
        <f t="shared" si="38"/>
        <v>#VALUE!</v>
      </c>
      <c r="AL30" s="193" t="e">
        <f t="shared" si="39"/>
        <v>#VALUE!</v>
      </c>
      <c r="AM30" s="193" t="e">
        <f t="shared" si="40"/>
        <v>#VALUE!</v>
      </c>
      <c r="AN30" s="234">
        <f t="shared" si="55"/>
        <v>2</v>
      </c>
      <c r="AO30" s="133">
        <f t="shared" si="56"/>
        <v>2820</v>
      </c>
      <c r="AP30" s="52">
        <f t="shared" si="57"/>
        <v>8</v>
      </c>
      <c r="AQ30" s="197">
        <f>AP30+(((100000-AO30)/10000000))</f>
        <v>8.009718</v>
      </c>
      <c r="AR30" s="197"/>
      <c r="AS30" s="197"/>
      <c r="AT30" s="224">
        <f>IF(G30="N",RANK(AQ30,$AQ$5:$AQ77,1),$G$58*4+1)</f>
        <v>14</v>
      </c>
      <c r="AU30" s="224"/>
      <c r="AV30" s="224"/>
      <c r="AW30" s="261">
        <f>AT30</f>
        <v>14</v>
      </c>
      <c r="AX30" s="328"/>
      <c r="AY30" s="325"/>
      <c r="AZ30" s="322"/>
    </row>
    <row r="31" spans="4:52" ht="14.25" customHeight="1">
      <c r="D31" s="331"/>
      <c r="E31" s="28">
        <v>27</v>
      </c>
      <c r="F31" s="133" t="str">
        <f>IF('Jmený seznam'!D31,'Jmený seznam'!E31)</f>
        <v>Mencl Michal</v>
      </c>
      <c r="G31" s="186" t="str">
        <f t="shared" si="41"/>
        <v>N</v>
      </c>
      <c r="H31" s="190" t="s">
        <v>20</v>
      </c>
      <c r="I31" s="266" t="s">
        <v>31</v>
      </c>
      <c r="J31" s="52">
        <v>3</v>
      </c>
      <c r="K31" s="219">
        <v>2480</v>
      </c>
      <c r="L31" s="192">
        <f t="shared" si="42"/>
        <v>2480</v>
      </c>
      <c r="M31" s="192" t="str">
        <f t="shared" si="43"/>
        <v>N</v>
      </c>
      <c r="N31" s="192" t="str">
        <f t="shared" si="44"/>
        <v>N</v>
      </c>
      <c r="O31" s="192" t="str">
        <f t="shared" si="45"/>
        <v>N</v>
      </c>
      <c r="P31" s="192" t="str">
        <f t="shared" si="46"/>
        <v>N</v>
      </c>
      <c r="Q31" s="192" t="str">
        <f t="shared" si="47"/>
        <v>N</v>
      </c>
      <c r="R31" s="193">
        <f t="shared" si="29"/>
        <v>3</v>
      </c>
      <c r="S31" s="193" t="e">
        <f t="shared" si="30"/>
        <v>#VALUE!</v>
      </c>
      <c r="T31" s="193" t="e">
        <f t="shared" si="31"/>
        <v>#VALUE!</v>
      </c>
      <c r="U31" s="193" t="e">
        <f t="shared" si="32"/>
        <v>#VALUE!</v>
      </c>
      <c r="V31" s="193" t="e">
        <f t="shared" si="33"/>
        <v>#VALUE!</v>
      </c>
      <c r="W31" s="193" t="e">
        <f t="shared" si="34"/>
        <v>#VALUE!</v>
      </c>
      <c r="X31" s="234">
        <f t="shared" si="48"/>
        <v>3</v>
      </c>
      <c r="Y31" s="266" t="s">
        <v>33</v>
      </c>
      <c r="Z31" s="52">
        <v>1</v>
      </c>
      <c r="AA31" s="219">
        <v>620</v>
      </c>
      <c r="AB31" s="192" t="str">
        <f t="shared" si="49"/>
        <v>N</v>
      </c>
      <c r="AC31" s="192" t="str">
        <f t="shared" si="50"/>
        <v>N</v>
      </c>
      <c r="AD31" s="192">
        <f t="shared" si="51"/>
        <v>620</v>
      </c>
      <c r="AE31" s="192" t="str">
        <f t="shared" si="52"/>
        <v>N</v>
      </c>
      <c r="AF31" s="192" t="str">
        <f t="shared" si="53"/>
        <v>N</v>
      </c>
      <c r="AG31" s="192" t="str">
        <f t="shared" si="54"/>
        <v>N</v>
      </c>
      <c r="AH31" s="193" t="e">
        <f t="shared" si="35"/>
        <v>#VALUE!</v>
      </c>
      <c r="AI31" s="193" t="e">
        <f t="shared" si="36"/>
        <v>#VALUE!</v>
      </c>
      <c r="AJ31" s="193">
        <f t="shared" si="37"/>
        <v>3</v>
      </c>
      <c r="AK31" s="193" t="e">
        <f t="shared" si="38"/>
        <v>#VALUE!</v>
      </c>
      <c r="AL31" s="193" t="e">
        <f t="shared" si="39"/>
        <v>#VALUE!</v>
      </c>
      <c r="AM31" s="193" t="e">
        <f t="shared" si="40"/>
        <v>#VALUE!</v>
      </c>
      <c r="AN31" s="234">
        <f t="shared" si="55"/>
        <v>3</v>
      </c>
      <c r="AO31" s="133">
        <f t="shared" si="56"/>
        <v>3100</v>
      </c>
      <c r="AP31" s="52">
        <f t="shared" si="57"/>
        <v>6</v>
      </c>
      <c r="AQ31" s="197">
        <f>AP31+(((100000-AO31)/10000000))</f>
        <v>6.00969</v>
      </c>
      <c r="AR31" s="197"/>
      <c r="AS31" s="197"/>
      <c r="AT31" s="224">
        <f>IF(G31="N",RANK(AQ31,$AQ$5:$AQ78,1),$G$58*4+1)</f>
        <v>8</v>
      </c>
      <c r="AU31" s="224"/>
      <c r="AV31" s="224"/>
      <c r="AW31" s="261">
        <f>AT31</f>
        <v>8</v>
      </c>
      <c r="AX31" s="328"/>
      <c r="AY31" s="325"/>
      <c r="AZ31" s="322"/>
    </row>
    <row r="32" spans="4:52" ht="14.25" customHeight="1">
      <c r="D32" s="331"/>
      <c r="E32" s="28">
        <v>28</v>
      </c>
      <c r="F32" s="133" t="str">
        <f>IF('Jmený seznam'!D32,'Jmený seznam'!E32)</f>
        <v>Bastl Tomáš</v>
      </c>
      <c r="G32" s="186" t="str">
        <f t="shared" si="41"/>
        <v>N</v>
      </c>
      <c r="H32" s="190" t="s">
        <v>20</v>
      </c>
      <c r="I32" s="266" t="s">
        <v>34</v>
      </c>
      <c r="J32" s="52">
        <v>3</v>
      </c>
      <c r="K32" s="219">
        <v>1270</v>
      </c>
      <c r="L32" s="192" t="str">
        <f t="shared" si="42"/>
        <v>N</v>
      </c>
      <c r="M32" s="192" t="str">
        <f t="shared" si="43"/>
        <v>N</v>
      </c>
      <c r="N32" s="192" t="str">
        <f t="shared" si="44"/>
        <v>N</v>
      </c>
      <c r="O32" s="192">
        <f t="shared" si="45"/>
        <v>1270</v>
      </c>
      <c r="P32" s="192" t="str">
        <f t="shared" si="46"/>
        <v>N</v>
      </c>
      <c r="Q32" s="192" t="str">
        <f t="shared" si="47"/>
        <v>N</v>
      </c>
      <c r="R32" s="193" t="e">
        <f t="shared" si="29"/>
        <v>#VALUE!</v>
      </c>
      <c r="S32" s="193" t="e">
        <f t="shared" si="30"/>
        <v>#VALUE!</v>
      </c>
      <c r="T32" s="193" t="e">
        <f t="shared" si="31"/>
        <v>#VALUE!</v>
      </c>
      <c r="U32" s="193">
        <f t="shared" si="32"/>
        <v>2</v>
      </c>
      <c r="V32" s="193" t="e">
        <f t="shared" si="33"/>
        <v>#VALUE!</v>
      </c>
      <c r="W32" s="193" t="e">
        <f t="shared" si="34"/>
        <v>#VALUE!</v>
      </c>
      <c r="X32" s="234">
        <f t="shared" si="48"/>
        <v>2</v>
      </c>
      <c r="Y32" s="266" t="s">
        <v>31</v>
      </c>
      <c r="Z32" s="52">
        <v>1</v>
      </c>
      <c r="AA32" s="219">
        <v>3220</v>
      </c>
      <c r="AB32" s="192">
        <f t="shared" si="49"/>
        <v>3220</v>
      </c>
      <c r="AC32" s="192" t="str">
        <f t="shared" si="50"/>
        <v>N</v>
      </c>
      <c r="AD32" s="192" t="str">
        <f t="shared" si="51"/>
        <v>N</v>
      </c>
      <c r="AE32" s="192" t="str">
        <f t="shared" si="52"/>
        <v>N</v>
      </c>
      <c r="AF32" s="192" t="str">
        <f t="shared" si="53"/>
        <v>N</v>
      </c>
      <c r="AG32" s="192" t="str">
        <f t="shared" si="54"/>
        <v>N</v>
      </c>
      <c r="AH32" s="193">
        <f t="shared" si="35"/>
        <v>1</v>
      </c>
      <c r="AI32" s="193" t="e">
        <f t="shared" si="36"/>
        <v>#VALUE!</v>
      </c>
      <c r="AJ32" s="193" t="e">
        <f t="shared" si="37"/>
        <v>#VALUE!</v>
      </c>
      <c r="AK32" s="193" t="e">
        <f t="shared" si="38"/>
        <v>#VALUE!</v>
      </c>
      <c r="AL32" s="193" t="e">
        <f t="shared" si="39"/>
        <v>#VALUE!</v>
      </c>
      <c r="AM32" s="193" t="e">
        <f t="shared" si="40"/>
        <v>#VALUE!</v>
      </c>
      <c r="AN32" s="234">
        <f t="shared" si="55"/>
        <v>1</v>
      </c>
      <c r="AO32" s="133">
        <f t="shared" si="56"/>
        <v>4490</v>
      </c>
      <c r="AP32" s="52">
        <f t="shared" si="57"/>
        <v>3</v>
      </c>
      <c r="AQ32" s="197">
        <f>AP32+(((100000-AO32)/10000000))</f>
        <v>3.009551</v>
      </c>
      <c r="AR32" s="197"/>
      <c r="AS32" s="197"/>
      <c r="AT32" s="224">
        <f>IF(G32="N",RANK(AQ32,$AQ$5:$AQ79,1),$G$58*4+1)</f>
        <v>2</v>
      </c>
      <c r="AU32" s="224"/>
      <c r="AV32" s="224"/>
      <c r="AW32" s="261">
        <f>AT32</f>
        <v>2</v>
      </c>
      <c r="AX32" s="328"/>
      <c r="AY32" s="325"/>
      <c r="AZ32" s="322"/>
    </row>
    <row r="33" spans="4:52" s="44" customFormat="1" ht="14.25" customHeight="1">
      <c r="D33" s="331"/>
      <c r="E33" s="28">
        <v>29</v>
      </c>
      <c r="F33" s="133" t="str">
        <f>IF('Jmený seznam'!D33,'Jmený seznam'!E33)</f>
        <v>Šimůnková Markéta</v>
      </c>
      <c r="G33" s="186" t="str">
        <f t="shared" si="41"/>
        <v>N</v>
      </c>
      <c r="H33" s="190" t="s">
        <v>24</v>
      </c>
      <c r="I33" s="266" t="s">
        <v>36</v>
      </c>
      <c r="J33" s="52">
        <v>3</v>
      </c>
      <c r="K33" s="219">
        <v>245</v>
      </c>
      <c r="L33" s="192" t="str">
        <f t="shared" si="42"/>
        <v>N</v>
      </c>
      <c r="M33" s="192" t="str">
        <f t="shared" si="43"/>
        <v>N</v>
      </c>
      <c r="N33" s="192" t="str">
        <f t="shared" si="44"/>
        <v>N</v>
      </c>
      <c r="O33" s="192" t="str">
        <f t="shared" si="45"/>
        <v>N</v>
      </c>
      <c r="P33" s="192" t="str">
        <f t="shared" si="46"/>
        <v>N</v>
      </c>
      <c r="Q33" s="192">
        <f t="shared" si="47"/>
        <v>245</v>
      </c>
      <c r="R33" s="193" t="e">
        <f t="shared" si="29"/>
        <v>#VALUE!</v>
      </c>
      <c r="S33" s="193" t="e">
        <f t="shared" si="30"/>
        <v>#VALUE!</v>
      </c>
      <c r="T33" s="193" t="e">
        <f t="shared" si="31"/>
        <v>#VALUE!</v>
      </c>
      <c r="U33" s="193" t="e">
        <f t="shared" si="32"/>
        <v>#VALUE!</v>
      </c>
      <c r="V33" s="193" t="e">
        <f t="shared" si="33"/>
        <v>#VALUE!</v>
      </c>
      <c r="W33" s="193">
        <f t="shared" si="34"/>
        <v>4</v>
      </c>
      <c r="X33" s="234">
        <f t="shared" si="48"/>
        <v>4</v>
      </c>
      <c r="Y33" s="266" t="s">
        <v>35</v>
      </c>
      <c r="Z33" s="52">
        <v>1</v>
      </c>
      <c r="AA33" s="219">
        <v>145</v>
      </c>
      <c r="AB33" s="192" t="str">
        <f t="shared" si="49"/>
        <v>N</v>
      </c>
      <c r="AC33" s="192" t="str">
        <f t="shared" si="50"/>
        <v>N</v>
      </c>
      <c r="AD33" s="192" t="str">
        <f t="shared" si="51"/>
        <v>N</v>
      </c>
      <c r="AE33" s="192" t="str">
        <f t="shared" si="52"/>
        <v>N</v>
      </c>
      <c r="AF33" s="192">
        <f t="shared" si="53"/>
        <v>145</v>
      </c>
      <c r="AG33" s="192" t="str">
        <f t="shared" si="54"/>
        <v>N</v>
      </c>
      <c r="AH33" s="193" t="e">
        <f t="shared" si="35"/>
        <v>#VALUE!</v>
      </c>
      <c r="AI33" s="193" t="e">
        <f t="shared" si="36"/>
        <v>#VALUE!</v>
      </c>
      <c r="AJ33" s="193" t="e">
        <f t="shared" si="37"/>
        <v>#VALUE!</v>
      </c>
      <c r="AK33" s="193" t="e">
        <f t="shared" si="38"/>
        <v>#VALUE!</v>
      </c>
      <c r="AL33" s="193">
        <f t="shared" si="39"/>
        <v>4</v>
      </c>
      <c r="AM33" s="193" t="e">
        <f t="shared" si="40"/>
        <v>#VALUE!</v>
      </c>
      <c r="AN33" s="234">
        <f t="shared" si="55"/>
        <v>4</v>
      </c>
      <c r="AO33" s="133">
        <f t="shared" si="56"/>
        <v>390</v>
      </c>
      <c r="AP33" s="52">
        <f t="shared" si="57"/>
        <v>8</v>
      </c>
      <c r="AQ33" s="197"/>
      <c r="AR33" s="197">
        <f>AP33+(((100000-AO33)/10000000))</f>
        <v>8.009961</v>
      </c>
      <c r="AS33" s="197"/>
      <c r="AT33" s="224"/>
      <c r="AU33" s="224">
        <f>IF(G33="N",RANK(AR33,$AR$5:$AR$52,1),$G$58+1)</f>
        <v>4</v>
      </c>
      <c r="AV33" s="224"/>
      <c r="AW33" s="261">
        <f>AU33</f>
        <v>4</v>
      </c>
      <c r="AX33" s="328"/>
      <c r="AY33" s="325"/>
      <c r="AZ33" s="322"/>
    </row>
    <row r="34" spans="4:52" s="44" customFormat="1" ht="14.25" customHeight="1" thickBot="1">
      <c r="D34" s="332"/>
      <c r="E34" s="29">
        <v>30</v>
      </c>
      <c r="F34" s="139" t="str">
        <f>IF('Jmený seznam'!D34,'Jmený seznam'!E34)</f>
        <v>Vejs David</v>
      </c>
      <c r="G34" s="202" t="str">
        <f t="shared" si="41"/>
        <v>N</v>
      </c>
      <c r="H34" s="203" t="s">
        <v>26</v>
      </c>
      <c r="I34" s="267" t="s">
        <v>35</v>
      </c>
      <c r="J34" s="75">
        <v>3</v>
      </c>
      <c r="K34" s="220">
        <v>1625</v>
      </c>
      <c r="L34" s="204" t="str">
        <f t="shared" si="42"/>
        <v>N</v>
      </c>
      <c r="M34" s="204" t="str">
        <f t="shared" si="43"/>
        <v>N</v>
      </c>
      <c r="N34" s="204" t="str">
        <f t="shared" si="44"/>
        <v>N</v>
      </c>
      <c r="O34" s="204" t="str">
        <f t="shared" si="45"/>
        <v>N</v>
      </c>
      <c r="P34" s="204">
        <f t="shared" si="46"/>
        <v>1625</v>
      </c>
      <c r="Q34" s="204" t="str">
        <f t="shared" si="47"/>
        <v>N</v>
      </c>
      <c r="R34" s="193" t="e">
        <f t="shared" si="29"/>
        <v>#VALUE!</v>
      </c>
      <c r="S34" s="193" t="e">
        <f t="shared" si="30"/>
        <v>#VALUE!</v>
      </c>
      <c r="T34" s="193" t="e">
        <f t="shared" si="31"/>
        <v>#VALUE!</v>
      </c>
      <c r="U34" s="193" t="e">
        <f t="shared" si="32"/>
        <v>#VALUE!</v>
      </c>
      <c r="V34" s="193">
        <f t="shared" si="33"/>
        <v>1</v>
      </c>
      <c r="W34" s="193" t="e">
        <f t="shared" si="34"/>
        <v>#VALUE!</v>
      </c>
      <c r="X34" s="235">
        <f t="shared" si="48"/>
        <v>1</v>
      </c>
      <c r="Y34" s="267" t="s">
        <v>36</v>
      </c>
      <c r="Z34" s="75">
        <v>1</v>
      </c>
      <c r="AA34" s="220">
        <v>2800</v>
      </c>
      <c r="AB34" s="204" t="str">
        <f t="shared" si="49"/>
        <v>N</v>
      </c>
      <c r="AC34" s="204" t="str">
        <f t="shared" si="50"/>
        <v>N</v>
      </c>
      <c r="AD34" s="204" t="str">
        <f t="shared" si="51"/>
        <v>N</v>
      </c>
      <c r="AE34" s="204" t="str">
        <f t="shared" si="52"/>
        <v>N</v>
      </c>
      <c r="AF34" s="204" t="str">
        <f t="shared" si="53"/>
        <v>N</v>
      </c>
      <c r="AG34" s="204">
        <f t="shared" si="54"/>
        <v>2800</v>
      </c>
      <c r="AH34" s="193" t="e">
        <f t="shared" si="35"/>
        <v>#VALUE!</v>
      </c>
      <c r="AI34" s="193" t="e">
        <f t="shared" si="36"/>
        <v>#VALUE!</v>
      </c>
      <c r="AJ34" s="193" t="e">
        <f t="shared" si="37"/>
        <v>#VALUE!</v>
      </c>
      <c r="AK34" s="193" t="e">
        <f t="shared" si="38"/>
        <v>#VALUE!</v>
      </c>
      <c r="AL34" s="193" t="e">
        <f t="shared" si="39"/>
        <v>#VALUE!</v>
      </c>
      <c r="AM34" s="193">
        <f t="shared" si="40"/>
        <v>2</v>
      </c>
      <c r="AN34" s="235">
        <f t="shared" si="55"/>
        <v>2</v>
      </c>
      <c r="AO34" s="139">
        <f t="shared" si="56"/>
        <v>4425</v>
      </c>
      <c r="AP34" s="75">
        <f t="shared" si="57"/>
        <v>3</v>
      </c>
      <c r="AQ34" s="206"/>
      <c r="AR34" s="206"/>
      <c r="AS34" s="206">
        <f>AP34+(((100000-AO34)/10000000))</f>
        <v>3.0095575</v>
      </c>
      <c r="AT34" s="224"/>
      <c r="AU34" s="224"/>
      <c r="AV34" s="224">
        <f>IF(G34="N",RANK(AS34,$AS$5:$AS$52,1),$G$58+1)</f>
        <v>1</v>
      </c>
      <c r="AW34" s="262">
        <f>AV34</f>
        <v>1</v>
      </c>
      <c r="AX34" s="345"/>
      <c r="AY34" s="326"/>
      <c r="AZ34" s="323"/>
    </row>
    <row r="35" spans="4:52" s="44" customFormat="1" ht="14.25" customHeight="1">
      <c r="D35" s="333" t="str">
        <f>IF('Jmený seznam'!D35,'Jmený seznam'!C35)</f>
        <v>Severočeský</v>
      </c>
      <c r="E35" s="67">
        <v>31</v>
      </c>
      <c r="F35" s="132" t="str">
        <f>IF('Jmený seznam'!D35,'Jmený seznam'!E35)</f>
        <v>Merhaut Petr</v>
      </c>
      <c r="G35" s="187" t="str">
        <f t="shared" si="41"/>
        <v>N</v>
      </c>
      <c r="H35" s="189" t="s">
        <v>20</v>
      </c>
      <c r="I35" s="265" t="s">
        <v>32</v>
      </c>
      <c r="J35" s="57">
        <v>8</v>
      </c>
      <c r="K35" s="218">
        <v>230</v>
      </c>
      <c r="L35" s="194" t="str">
        <f t="shared" si="42"/>
        <v>N</v>
      </c>
      <c r="M35" s="194">
        <f t="shared" si="43"/>
        <v>230</v>
      </c>
      <c r="N35" s="194" t="str">
        <f t="shared" si="44"/>
        <v>N</v>
      </c>
      <c r="O35" s="194" t="str">
        <f t="shared" si="45"/>
        <v>N</v>
      </c>
      <c r="P35" s="194" t="str">
        <f t="shared" si="46"/>
        <v>N</v>
      </c>
      <c r="Q35" s="194" t="str">
        <f t="shared" si="47"/>
        <v>N</v>
      </c>
      <c r="R35" s="213" t="e">
        <f t="shared" si="29"/>
        <v>#VALUE!</v>
      </c>
      <c r="S35" s="213">
        <f t="shared" si="30"/>
        <v>8</v>
      </c>
      <c r="T35" s="213" t="e">
        <f t="shared" si="31"/>
        <v>#VALUE!</v>
      </c>
      <c r="U35" s="213" t="e">
        <f t="shared" si="32"/>
        <v>#VALUE!</v>
      </c>
      <c r="V35" s="213" t="e">
        <f t="shared" si="33"/>
        <v>#VALUE!</v>
      </c>
      <c r="W35" s="213" t="e">
        <f t="shared" si="34"/>
        <v>#VALUE!</v>
      </c>
      <c r="X35" s="233">
        <f t="shared" si="48"/>
        <v>8</v>
      </c>
      <c r="Y35" s="265" t="s">
        <v>34</v>
      </c>
      <c r="Z35" s="57">
        <v>5</v>
      </c>
      <c r="AA35" s="218">
        <v>0</v>
      </c>
      <c r="AB35" s="194" t="str">
        <f t="shared" si="49"/>
        <v>N</v>
      </c>
      <c r="AC35" s="194" t="str">
        <f t="shared" si="50"/>
        <v>N</v>
      </c>
      <c r="AD35" s="194" t="str">
        <f t="shared" si="51"/>
        <v>N</v>
      </c>
      <c r="AE35" s="194">
        <f t="shared" si="52"/>
        <v>0</v>
      </c>
      <c r="AF35" s="194" t="str">
        <f t="shared" si="53"/>
        <v>N</v>
      </c>
      <c r="AG35" s="194" t="str">
        <f t="shared" si="54"/>
        <v>N</v>
      </c>
      <c r="AH35" s="213" t="e">
        <f t="shared" si="35"/>
        <v>#VALUE!</v>
      </c>
      <c r="AI35" s="213" t="e">
        <f t="shared" si="36"/>
        <v>#VALUE!</v>
      </c>
      <c r="AJ35" s="213" t="e">
        <f t="shared" si="37"/>
        <v>#VALUE!</v>
      </c>
      <c r="AK35" s="213">
        <f t="shared" si="38"/>
        <v>8</v>
      </c>
      <c r="AL35" s="213" t="e">
        <f t="shared" si="39"/>
        <v>#VALUE!</v>
      </c>
      <c r="AM35" s="213" t="e">
        <f t="shared" si="40"/>
        <v>#VALUE!</v>
      </c>
      <c r="AN35" s="233">
        <f t="shared" si="55"/>
        <v>8</v>
      </c>
      <c r="AO35" s="132">
        <f t="shared" si="56"/>
        <v>230</v>
      </c>
      <c r="AP35" s="57">
        <f t="shared" si="57"/>
        <v>16</v>
      </c>
      <c r="AQ35" s="198">
        <f>AP35+(((100000-AO35)/10000000))</f>
        <v>16.009977</v>
      </c>
      <c r="AR35" s="198"/>
      <c r="AS35" s="198"/>
      <c r="AT35" s="226">
        <f>IF(G35="N",RANK(AQ35,$AQ$5:$AQ82,1),$G$58*4+1)</f>
        <v>30</v>
      </c>
      <c r="AU35" s="226"/>
      <c r="AV35" s="226"/>
      <c r="AW35" s="260">
        <f>AT35</f>
        <v>30</v>
      </c>
      <c r="AX35" s="327">
        <f>SUM(AO35:AO40)</f>
        <v>1125</v>
      </c>
      <c r="AY35" s="324">
        <f>SUM(AP35:AP40)</f>
        <v>91</v>
      </c>
      <c r="AZ35" s="321">
        <f>RANK(AY35,$AY$5:$AY$52,1)</f>
        <v>8</v>
      </c>
    </row>
    <row r="36" spans="4:52" s="44" customFormat="1" ht="14.25" customHeight="1">
      <c r="D36" s="331"/>
      <c r="E36" s="28">
        <v>32</v>
      </c>
      <c r="F36" s="133" t="str">
        <f>IF('Jmený seznam'!D36,'Jmený seznam'!E36)</f>
        <v>Knobloch Jan</v>
      </c>
      <c r="G36" s="186" t="str">
        <f t="shared" si="41"/>
        <v>N</v>
      </c>
      <c r="H36" s="190" t="s">
        <v>20</v>
      </c>
      <c r="I36" s="266" t="s">
        <v>33</v>
      </c>
      <c r="J36" s="52">
        <v>8</v>
      </c>
      <c r="K36" s="219">
        <v>10</v>
      </c>
      <c r="L36" s="192" t="str">
        <f t="shared" si="42"/>
        <v>N</v>
      </c>
      <c r="M36" s="192" t="str">
        <f t="shared" si="43"/>
        <v>N</v>
      </c>
      <c r="N36" s="192">
        <f t="shared" si="44"/>
        <v>10</v>
      </c>
      <c r="O36" s="192" t="str">
        <f t="shared" si="45"/>
        <v>N</v>
      </c>
      <c r="P36" s="192" t="str">
        <f t="shared" si="46"/>
        <v>N</v>
      </c>
      <c r="Q36" s="192" t="str">
        <f t="shared" si="47"/>
        <v>N</v>
      </c>
      <c r="R36" s="193" t="e">
        <f t="shared" si="29"/>
        <v>#VALUE!</v>
      </c>
      <c r="S36" s="193" t="e">
        <f>IF(G36="N",IF(M36=0,$G$58,RANK(M36,$M$5:$M$52,0)),$G$58+1)</f>
        <v>#VALUE!</v>
      </c>
      <c r="T36" s="193">
        <f t="shared" si="31"/>
        <v>8</v>
      </c>
      <c r="U36" s="193" t="e">
        <f t="shared" si="32"/>
        <v>#VALUE!</v>
      </c>
      <c r="V36" s="193" t="e">
        <f t="shared" si="33"/>
        <v>#VALUE!</v>
      </c>
      <c r="W36" s="193" t="e">
        <f t="shared" si="34"/>
        <v>#VALUE!</v>
      </c>
      <c r="X36" s="234">
        <f t="shared" si="48"/>
        <v>8</v>
      </c>
      <c r="Y36" s="266" t="s">
        <v>32</v>
      </c>
      <c r="Z36" s="52">
        <v>5</v>
      </c>
      <c r="AA36" s="219">
        <v>20</v>
      </c>
      <c r="AB36" s="192" t="str">
        <f t="shared" si="49"/>
        <v>N</v>
      </c>
      <c r="AC36" s="192">
        <f t="shared" si="50"/>
        <v>20</v>
      </c>
      <c r="AD36" s="192" t="str">
        <f t="shared" si="51"/>
        <v>N</v>
      </c>
      <c r="AE36" s="192" t="str">
        <f t="shared" si="52"/>
        <v>N</v>
      </c>
      <c r="AF36" s="192" t="str">
        <f t="shared" si="53"/>
        <v>N</v>
      </c>
      <c r="AG36" s="192" t="str">
        <f t="shared" si="54"/>
        <v>N</v>
      </c>
      <c r="AH36" s="193" t="e">
        <f t="shared" si="35"/>
        <v>#VALUE!</v>
      </c>
      <c r="AI36" s="193">
        <f t="shared" si="36"/>
        <v>8</v>
      </c>
      <c r="AJ36" s="193" t="e">
        <f t="shared" si="37"/>
        <v>#VALUE!</v>
      </c>
      <c r="AK36" s="193" t="e">
        <f t="shared" si="38"/>
        <v>#VALUE!</v>
      </c>
      <c r="AL36" s="193" t="e">
        <f t="shared" si="39"/>
        <v>#VALUE!</v>
      </c>
      <c r="AM36" s="193" t="e">
        <f t="shared" si="40"/>
        <v>#VALUE!</v>
      </c>
      <c r="AN36" s="234">
        <f t="shared" si="55"/>
        <v>8</v>
      </c>
      <c r="AO36" s="133">
        <f t="shared" si="56"/>
        <v>30</v>
      </c>
      <c r="AP36" s="52">
        <f t="shared" si="57"/>
        <v>16</v>
      </c>
      <c r="AQ36" s="197">
        <f>AP36+(((100000-AO36)/10000000))</f>
        <v>16.009997</v>
      </c>
      <c r="AR36" s="197"/>
      <c r="AS36" s="197"/>
      <c r="AT36" s="224">
        <f>IF(G36="N",RANK(AQ36,$AQ$5:$AQ83,1),$G$58*4+1)</f>
        <v>32</v>
      </c>
      <c r="AU36" s="224"/>
      <c r="AV36" s="224"/>
      <c r="AW36" s="261">
        <f>AT36</f>
        <v>32</v>
      </c>
      <c r="AX36" s="328"/>
      <c r="AY36" s="325"/>
      <c r="AZ36" s="322"/>
    </row>
    <row r="37" spans="4:52" s="44" customFormat="1" ht="14.25" customHeight="1">
      <c r="D37" s="331"/>
      <c r="E37" s="28">
        <v>33</v>
      </c>
      <c r="F37" s="133" t="str">
        <f>IF('Jmený seznam'!D37,'Jmený seznam'!E37)</f>
        <v>Richter Jiří</v>
      </c>
      <c r="G37" s="186" t="str">
        <f t="shared" si="41"/>
        <v>N</v>
      </c>
      <c r="H37" s="190" t="s">
        <v>20</v>
      </c>
      <c r="I37" s="266" t="s">
        <v>31</v>
      </c>
      <c r="J37" s="52">
        <v>8</v>
      </c>
      <c r="K37" s="219">
        <v>490</v>
      </c>
      <c r="L37" s="192">
        <f t="shared" si="42"/>
        <v>490</v>
      </c>
      <c r="M37" s="192" t="str">
        <f t="shared" si="43"/>
        <v>N</v>
      </c>
      <c r="N37" s="192" t="str">
        <f t="shared" si="44"/>
        <v>N</v>
      </c>
      <c r="O37" s="192" t="str">
        <f t="shared" si="45"/>
        <v>N</v>
      </c>
      <c r="P37" s="192" t="str">
        <f t="shared" si="46"/>
        <v>N</v>
      </c>
      <c r="Q37" s="192" t="str">
        <f t="shared" si="47"/>
        <v>N</v>
      </c>
      <c r="R37" s="193">
        <f t="shared" si="29"/>
        <v>5</v>
      </c>
      <c r="S37" s="193" t="e">
        <f t="shared" si="30"/>
        <v>#VALUE!</v>
      </c>
      <c r="T37" s="193" t="e">
        <f t="shared" si="31"/>
        <v>#VALUE!</v>
      </c>
      <c r="U37" s="193" t="e">
        <f t="shared" si="32"/>
        <v>#VALUE!</v>
      </c>
      <c r="V37" s="193" t="e">
        <f t="shared" si="33"/>
        <v>#VALUE!</v>
      </c>
      <c r="W37" s="193" t="e">
        <f t="shared" si="34"/>
        <v>#VALUE!</v>
      </c>
      <c r="X37" s="234">
        <f t="shared" si="48"/>
        <v>5</v>
      </c>
      <c r="Y37" s="266" t="s">
        <v>33</v>
      </c>
      <c r="Z37" s="52">
        <v>5</v>
      </c>
      <c r="AA37" s="219">
        <v>80</v>
      </c>
      <c r="AB37" s="192" t="str">
        <f t="shared" si="49"/>
        <v>N</v>
      </c>
      <c r="AC37" s="192" t="str">
        <f t="shared" si="50"/>
        <v>N</v>
      </c>
      <c r="AD37" s="192">
        <f t="shared" si="51"/>
        <v>80</v>
      </c>
      <c r="AE37" s="192" t="str">
        <f t="shared" si="52"/>
        <v>N</v>
      </c>
      <c r="AF37" s="192" t="str">
        <f t="shared" si="53"/>
        <v>N</v>
      </c>
      <c r="AG37" s="192" t="str">
        <f t="shared" si="54"/>
        <v>N</v>
      </c>
      <c r="AH37" s="193" t="e">
        <f t="shared" si="35"/>
        <v>#VALUE!</v>
      </c>
      <c r="AI37" s="193" t="e">
        <f t="shared" si="36"/>
        <v>#VALUE!</v>
      </c>
      <c r="AJ37" s="193">
        <f t="shared" si="37"/>
        <v>8</v>
      </c>
      <c r="AK37" s="193" t="e">
        <f t="shared" si="38"/>
        <v>#VALUE!</v>
      </c>
      <c r="AL37" s="193" t="e">
        <f t="shared" si="39"/>
        <v>#VALUE!</v>
      </c>
      <c r="AM37" s="193" t="e">
        <f t="shared" si="40"/>
        <v>#VALUE!</v>
      </c>
      <c r="AN37" s="234">
        <f t="shared" si="55"/>
        <v>8</v>
      </c>
      <c r="AO37" s="133">
        <f t="shared" si="56"/>
        <v>570</v>
      </c>
      <c r="AP37" s="52">
        <f t="shared" si="57"/>
        <v>13</v>
      </c>
      <c r="AQ37" s="197">
        <f>AP37+(((100000-AO37)/10000000))</f>
        <v>13.009943</v>
      </c>
      <c r="AR37" s="197"/>
      <c r="AS37" s="197"/>
      <c r="AT37" s="224">
        <f>IF(G37="N",RANK(AQ37,$AQ$5:$AQ84,1),$G$58*4+1)</f>
        <v>26</v>
      </c>
      <c r="AU37" s="224"/>
      <c r="AV37" s="224"/>
      <c r="AW37" s="261">
        <f>AT37</f>
        <v>26</v>
      </c>
      <c r="AX37" s="328"/>
      <c r="AY37" s="325"/>
      <c r="AZ37" s="322"/>
    </row>
    <row r="38" spans="4:52" s="44" customFormat="1" ht="14.25" customHeight="1">
      <c r="D38" s="331"/>
      <c r="E38" s="28">
        <v>34</v>
      </c>
      <c r="F38" s="133" t="str">
        <f>IF('Jmený seznam'!D38,'Jmený seznam'!E38)</f>
        <v>Farský Jaromír</v>
      </c>
      <c r="G38" s="186" t="str">
        <f t="shared" si="41"/>
        <v>N</v>
      </c>
      <c r="H38" s="190" t="s">
        <v>20</v>
      </c>
      <c r="I38" s="266" t="s">
        <v>34</v>
      </c>
      <c r="J38" s="52">
        <v>8</v>
      </c>
      <c r="K38" s="219">
        <v>145</v>
      </c>
      <c r="L38" s="192" t="str">
        <f t="shared" si="42"/>
        <v>N</v>
      </c>
      <c r="M38" s="192" t="str">
        <f t="shared" si="43"/>
        <v>N</v>
      </c>
      <c r="N38" s="192" t="str">
        <f t="shared" si="44"/>
        <v>N</v>
      </c>
      <c r="O38" s="192">
        <f t="shared" si="45"/>
        <v>145</v>
      </c>
      <c r="P38" s="192" t="str">
        <f t="shared" si="46"/>
        <v>N</v>
      </c>
      <c r="Q38" s="192" t="str">
        <f t="shared" si="47"/>
        <v>N</v>
      </c>
      <c r="R38" s="193" t="e">
        <f t="shared" si="29"/>
        <v>#VALUE!</v>
      </c>
      <c r="S38" s="193" t="e">
        <f t="shared" si="30"/>
        <v>#VALUE!</v>
      </c>
      <c r="T38" s="193" t="e">
        <f t="shared" si="31"/>
        <v>#VALUE!</v>
      </c>
      <c r="U38" s="193">
        <f t="shared" si="32"/>
        <v>8</v>
      </c>
      <c r="V38" s="193" t="e">
        <f t="shared" si="33"/>
        <v>#VALUE!</v>
      </c>
      <c r="W38" s="193" t="e">
        <f t="shared" si="34"/>
        <v>#VALUE!</v>
      </c>
      <c r="X38" s="234">
        <f t="shared" si="48"/>
        <v>8</v>
      </c>
      <c r="Y38" s="266" t="s">
        <v>31</v>
      </c>
      <c r="Z38" s="52">
        <v>5</v>
      </c>
      <c r="AA38" s="219">
        <v>0</v>
      </c>
      <c r="AB38" s="192">
        <f t="shared" si="49"/>
        <v>0</v>
      </c>
      <c r="AC38" s="192" t="str">
        <f t="shared" si="50"/>
        <v>N</v>
      </c>
      <c r="AD38" s="192" t="str">
        <f t="shared" si="51"/>
        <v>N</v>
      </c>
      <c r="AE38" s="192" t="str">
        <f t="shared" si="52"/>
        <v>N</v>
      </c>
      <c r="AF38" s="192" t="str">
        <f t="shared" si="53"/>
        <v>N</v>
      </c>
      <c r="AG38" s="192" t="str">
        <f t="shared" si="54"/>
        <v>N</v>
      </c>
      <c r="AH38" s="193">
        <f t="shared" si="35"/>
        <v>8</v>
      </c>
      <c r="AI38" s="193" t="e">
        <f t="shared" si="36"/>
        <v>#VALUE!</v>
      </c>
      <c r="AJ38" s="193" t="e">
        <f t="shared" si="37"/>
        <v>#VALUE!</v>
      </c>
      <c r="AK38" s="193" t="e">
        <f t="shared" si="38"/>
        <v>#VALUE!</v>
      </c>
      <c r="AL38" s="193" t="e">
        <f t="shared" si="39"/>
        <v>#VALUE!</v>
      </c>
      <c r="AM38" s="193" t="e">
        <f t="shared" si="40"/>
        <v>#VALUE!</v>
      </c>
      <c r="AN38" s="234">
        <f t="shared" si="55"/>
        <v>8</v>
      </c>
      <c r="AO38" s="133">
        <f t="shared" si="56"/>
        <v>145</v>
      </c>
      <c r="AP38" s="52">
        <f t="shared" si="57"/>
        <v>16</v>
      </c>
      <c r="AQ38" s="197">
        <f>AP38+(((100000-AO38)/10000000))</f>
        <v>16.0099855</v>
      </c>
      <c r="AR38" s="197"/>
      <c r="AS38" s="197"/>
      <c r="AT38" s="224">
        <f>IF(G38="N",RANK(AQ38,$AQ$5:$AQ85,1),$G$58*4+1)</f>
        <v>31</v>
      </c>
      <c r="AU38" s="224"/>
      <c r="AV38" s="224"/>
      <c r="AW38" s="261">
        <f>AT38</f>
        <v>31</v>
      </c>
      <c r="AX38" s="328"/>
      <c r="AY38" s="325"/>
      <c r="AZ38" s="322"/>
    </row>
    <row r="39" spans="4:52" s="44" customFormat="1" ht="14.25" customHeight="1">
      <c r="D39" s="331"/>
      <c r="E39" s="28">
        <v>35</v>
      </c>
      <c r="F39" s="133" t="str">
        <f>IF('Jmený seznam'!D39,'Jmený seznam'!E39)</f>
        <v>Kasalová Marie</v>
      </c>
      <c r="G39" s="186" t="str">
        <f t="shared" si="41"/>
        <v>N</v>
      </c>
      <c r="H39" s="190" t="s">
        <v>24</v>
      </c>
      <c r="I39" s="266" t="s">
        <v>36</v>
      </c>
      <c r="J39" s="52">
        <v>8</v>
      </c>
      <c r="K39" s="219">
        <v>150</v>
      </c>
      <c r="L39" s="192" t="str">
        <f t="shared" si="42"/>
        <v>N</v>
      </c>
      <c r="M39" s="192" t="str">
        <f t="shared" si="43"/>
        <v>N</v>
      </c>
      <c r="N39" s="192" t="str">
        <f t="shared" si="44"/>
        <v>N</v>
      </c>
      <c r="O39" s="192" t="str">
        <f t="shared" si="45"/>
        <v>N</v>
      </c>
      <c r="P39" s="192" t="str">
        <f t="shared" si="46"/>
        <v>N</v>
      </c>
      <c r="Q39" s="192">
        <f t="shared" si="47"/>
        <v>150</v>
      </c>
      <c r="R39" s="193" t="e">
        <f t="shared" si="29"/>
        <v>#VALUE!</v>
      </c>
      <c r="S39" s="193" t="e">
        <f t="shared" si="30"/>
        <v>#VALUE!</v>
      </c>
      <c r="T39" s="193" t="e">
        <f t="shared" si="31"/>
        <v>#VALUE!</v>
      </c>
      <c r="U39" s="193" t="e">
        <f t="shared" si="32"/>
        <v>#VALUE!</v>
      </c>
      <c r="V39" s="193" t="e">
        <f t="shared" si="33"/>
        <v>#VALUE!</v>
      </c>
      <c r="W39" s="193">
        <f t="shared" si="34"/>
        <v>6</v>
      </c>
      <c r="X39" s="234">
        <f t="shared" si="48"/>
        <v>6</v>
      </c>
      <c r="Y39" s="266" t="s">
        <v>35</v>
      </c>
      <c r="Z39" s="52">
        <v>5</v>
      </c>
      <c r="AA39" s="219">
        <v>0</v>
      </c>
      <c r="AB39" s="192" t="str">
        <f t="shared" si="49"/>
        <v>N</v>
      </c>
      <c r="AC39" s="192" t="str">
        <f t="shared" si="50"/>
        <v>N</v>
      </c>
      <c r="AD39" s="192" t="str">
        <f t="shared" si="51"/>
        <v>N</v>
      </c>
      <c r="AE39" s="192" t="str">
        <f t="shared" si="52"/>
        <v>N</v>
      </c>
      <c r="AF39" s="192">
        <f t="shared" si="53"/>
        <v>0</v>
      </c>
      <c r="AG39" s="192" t="str">
        <f t="shared" si="54"/>
        <v>N</v>
      </c>
      <c r="AH39" s="193" t="e">
        <f t="shared" si="35"/>
        <v>#VALUE!</v>
      </c>
      <c r="AI39" s="193" t="e">
        <f t="shared" si="36"/>
        <v>#VALUE!</v>
      </c>
      <c r="AJ39" s="193" t="e">
        <f t="shared" si="37"/>
        <v>#VALUE!</v>
      </c>
      <c r="AK39" s="193" t="e">
        <f t="shared" si="38"/>
        <v>#VALUE!</v>
      </c>
      <c r="AL39" s="193">
        <f t="shared" si="39"/>
        <v>8</v>
      </c>
      <c r="AM39" s="193" t="e">
        <f t="shared" si="40"/>
        <v>#VALUE!</v>
      </c>
      <c r="AN39" s="234">
        <f t="shared" si="55"/>
        <v>8</v>
      </c>
      <c r="AO39" s="133">
        <f t="shared" si="56"/>
        <v>150</v>
      </c>
      <c r="AP39" s="52">
        <f t="shared" si="57"/>
        <v>14</v>
      </c>
      <c r="AQ39" s="197"/>
      <c r="AR39" s="197">
        <f>AP39+(((100000-AO39)/10000000))</f>
        <v>14.009985</v>
      </c>
      <c r="AS39" s="197"/>
      <c r="AT39" s="224"/>
      <c r="AU39" s="224">
        <f>IF(G39="N",RANK(AR39,$AR$5:$AR$52,1),$G$58+1)</f>
        <v>6</v>
      </c>
      <c r="AV39" s="224"/>
      <c r="AW39" s="261">
        <f>AU39</f>
        <v>6</v>
      </c>
      <c r="AX39" s="328"/>
      <c r="AY39" s="325"/>
      <c r="AZ39" s="322"/>
    </row>
    <row r="40" spans="4:52" s="44" customFormat="1" ht="14.25" customHeight="1" thickBot="1">
      <c r="D40" s="332"/>
      <c r="E40" s="29">
        <v>36</v>
      </c>
      <c r="F40" s="139" t="str">
        <f>IF('Jmený seznam'!D40,'Jmený seznam'!E40)</f>
        <v>Žejdl Ondřej</v>
      </c>
      <c r="G40" s="202" t="str">
        <f t="shared" si="41"/>
        <v>N</v>
      </c>
      <c r="H40" s="203" t="s">
        <v>26</v>
      </c>
      <c r="I40" s="267" t="s">
        <v>35</v>
      </c>
      <c r="J40" s="75">
        <v>8</v>
      </c>
      <c r="K40" s="220">
        <v>0</v>
      </c>
      <c r="L40" s="204" t="str">
        <f t="shared" si="42"/>
        <v>N</v>
      </c>
      <c r="M40" s="204" t="str">
        <f t="shared" si="43"/>
        <v>N</v>
      </c>
      <c r="N40" s="204" t="str">
        <f t="shared" si="44"/>
        <v>N</v>
      </c>
      <c r="O40" s="204" t="str">
        <f t="shared" si="45"/>
        <v>N</v>
      </c>
      <c r="P40" s="204">
        <f t="shared" si="46"/>
        <v>0</v>
      </c>
      <c r="Q40" s="204" t="str">
        <f t="shared" si="47"/>
        <v>N</v>
      </c>
      <c r="R40" s="193" t="e">
        <f t="shared" si="29"/>
        <v>#VALUE!</v>
      </c>
      <c r="S40" s="193" t="e">
        <f t="shared" si="30"/>
        <v>#VALUE!</v>
      </c>
      <c r="T40" s="193" t="e">
        <f t="shared" si="31"/>
        <v>#VALUE!</v>
      </c>
      <c r="U40" s="193" t="e">
        <f t="shared" si="32"/>
        <v>#VALUE!</v>
      </c>
      <c r="V40" s="193">
        <f t="shared" si="33"/>
        <v>8</v>
      </c>
      <c r="W40" s="193" t="e">
        <f t="shared" si="34"/>
        <v>#VALUE!</v>
      </c>
      <c r="X40" s="235">
        <f t="shared" si="48"/>
        <v>8</v>
      </c>
      <c r="Y40" s="267" t="s">
        <v>36</v>
      </c>
      <c r="Z40" s="75">
        <v>5</v>
      </c>
      <c r="AA40" s="220">
        <v>0</v>
      </c>
      <c r="AB40" s="204" t="str">
        <f t="shared" si="49"/>
        <v>N</v>
      </c>
      <c r="AC40" s="204" t="str">
        <f t="shared" si="50"/>
        <v>N</v>
      </c>
      <c r="AD40" s="204" t="str">
        <f t="shared" si="51"/>
        <v>N</v>
      </c>
      <c r="AE40" s="204" t="str">
        <f t="shared" si="52"/>
        <v>N</v>
      </c>
      <c r="AF40" s="204" t="str">
        <f t="shared" si="53"/>
        <v>N</v>
      </c>
      <c r="AG40" s="204">
        <f t="shared" si="54"/>
        <v>0</v>
      </c>
      <c r="AH40" s="193" t="e">
        <f t="shared" si="35"/>
        <v>#VALUE!</v>
      </c>
      <c r="AI40" s="193" t="e">
        <f t="shared" si="36"/>
        <v>#VALUE!</v>
      </c>
      <c r="AJ40" s="193" t="e">
        <f t="shared" si="37"/>
        <v>#VALUE!</v>
      </c>
      <c r="AK40" s="193" t="e">
        <f t="shared" si="38"/>
        <v>#VALUE!</v>
      </c>
      <c r="AL40" s="193" t="e">
        <f t="shared" si="39"/>
        <v>#VALUE!</v>
      </c>
      <c r="AM40" s="193">
        <f t="shared" si="40"/>
        <v>8</v>
      </c>
      <c r="AN40" s="235">
        <f t="shared" si="55"/>
        <v>8</v>
      </c>
      <c r="AO40" s="139">
        <f t="shared" si="56"/>
        <v>0</v>
      </c>
      <c r="AP40" s="75">
        <f t="shared" si="57"/>
        <v>16</v>
      </c>
      <c r="AQ40" s="206"/>
      <c r="AR40" s="206"/>
      <c r="AS40" s="206">
        <f>AP40+(((100000-AO40)/10000000))</f>
        <v>16.01</v>
      </c>
      <c r="AT40" s="224"/>
      <c r="AU40" s="224"/>
      <c r="AV40" s="224">
        <f>IF(G40="N",RANK(AS40,$AS$5:$AS$52,1),$G$58+1)</f>
        <v>8</v>
      </c>
      <c r="AW40" s="262">
        <f>AV40</f>
        <v>8</v>
      </c>
      <c r="AX40" s="345"/>
      <c r="AY40" s="326"/>
      <c r="AZ40" s="323"/>
    </row>
    <row r="41" spans="4:52" s="44" customFormat="1" ht="14.25" customHeight="1">
      <c r="D41" s="333" t="str">
        <f>IF('Jmený seznam'!D41,'Jmený seznam'!C41)</f>
        <v>Středočeský</v>
      </c>
      <c r="E41" s="67">
        <v>37</v>
      </c>
      <c r="F41" s="132" t="str">
        <f>IF('Jmený seznam'!D41,'Jmený seznam'!E41)</f>
        <v>Červenková Jana</v>
      </c>
      <c r="G41" s="187" t="str">
        <f aca="true" t="shared" si="58" ref="G41:G52">IF(ISBLANK(F41),"P","N")</f>
        <v>N</v>
      </c>
      <c r="H41" s="189" t="s">
        <v>20</v>
      </c>
      <c r="I41" s="265" t="s">
        <v>33</v>
      </c>
      <c r="J41" s="57">
        <v>4</v>
      </c>
      <c r="K41" s="218">
        <v>610</v>
      </c>
      <c r="L41" s="194" t="str">
        <f aca="true" t="shared" si="59" ref="L41:L52">IF(I41="A",K41,"N")</f>
        <v>N</v>
      </c>
      <c r="M41" s="194" t="str">
        <f aca="true" t="shared" si="60" ref="M41:M52">IF(I41="B",K41,"N")</f>
        <v>N</v>
      </c>
      <c r="N41" s="194">
        <f aca="true" t="shared" si="61" ref="N41:N52">IF(I41="C",K41,"N")</f>
        <v>610</v>
      </c>
      <c r="O41" s="194" t="str">
        <f aca="true" t="shared" si="62" ref="O41:O52">IF(I41="D",K41,"N")</f>
        <v>N</v>
      </c>
      <c r="P41" s="194" t="str">
        <f aca="true" t="shared" si="63" ref="P41:P52">IF(I41="E",K41,"N")</f>
        <v>N</v>
      </c>
      <c r="Q41" s="194" t="str">
        <f aca="true" t="shared" si="64" ref="Q41:Q52">IF(I41="F",K41,"N")</f>
        <v>N</v>
      </c>
      <c r="R41" s="213" t="e">
        <f t="shared" si="29"/>
        <v>#VALUE!</v>
      </c>
      <c r="S41" s="213" t="e">
        <f t="shared" si="30"/>
        <v>#VALUE!</v>
      </c>
      <c r="T41" s="213">
        <f t="shared" si="31"/>
        <v>4</v>
      </c>
      <c r="U41" s="213" t="e">
        <f t="shared" si="32"/>
        <v>#VALUE!</v>
      </c>
      <c r="V41" s="213" t="e">
        <f t="shared" si="33"/>
        <v>#VALUE!</v>
      </c>
      <c r="W41" s="213" t="e">
        <f t="shared" si="34"/>
        <v>#VALUE!</v>
      </c>
      <c r="X41" s="233">
        <f aca="true" t="shared" si="65" ref="X41:X52">IF(ISNUMBER(R41),R41,IF(ISNUMBER(S41),S41,IF(ISNUMBER(T41),T41,IF(ISNUMBER(U41),U41,IF(ISNUMBER(V41),V41,IF(ISNUMBER(W41),W41,"ERROR"))))))</f>
        <v>4</v>
      </c>
      <c r="Y41" s="265" t="s">
        <v>34</v>
      </c>
      <c r="Z41" s="57">
        <v>7</v>
      </c>
      <c r="AA41" s="218">
        <v>0</v>
      </c>
      <c r="AB41" s="194" t="str">
        <f aca="true" t="shared" si="66" ref="AB41:AB52">IF(Y41="A",AA41,"N")</f>
        <v>N</v>
      </c>
      <c r="AC41" s="194" t="str">
        <f aca="true" t="shared" si="67" ref="AC41:AC52">IF(Y41="B",AA41,"N")</f>
        <v>N</v>
      </c>
      <c r="AD41" s="194" t="str">
        <f aca="true" t="shared" si="68" ref="AD41:AD52">IF(Y41="C",AA41,"N")</f>
        <v>N</v>
      </c>
      <c r="AE41" s="194">
        <f aca="true" t="shared" si="69" ref="AE41:AE52">IF(Y41="D",AA41,"N")</f>
        <v>0</v>
      </c>
      <c r="AF41" s="194" t="str">
        <f aca="true" t="shared" si="70" ref="AF41:AF52">IF(Y41="E",AA41,"N")</f>
        <v>N</v>
      </c>
      <c r="AG41" s="194" t="str">
        <f aca="true" t="shared" si="71" ref="AG41:AG52">IF(Y41="F",AA41,"N")</f>
        <v>N</v>
      </c>
      <c r="AH41" s="213" t="e">
        <f t="shared" si="35"/>
        <v>#VALUE!</v>
      </c>
      <c r="AI41" s="213" t="e">
        <f t="shared" si="36"/>
        <v>#VALUE!</v>
      </c>
      <c r="AJ41" s="213" t="e">
        <f t="shared" si="37"/>
        <v>#VALUE!</v>
      </c>
      <c r="AK41" s="213">
        <f t="shared" si="38"/>
        <v>8</v>
      </c>
      <c r="AL41" s="213" t="e">
        <f t="shared" si="39"/>
        <v>#VALUE!</v>
      </c>
      <c r="AM41" s="213" t="e">
        <f t="shared" si="40"/>
        <v>#VALUE!</v>
      </c>
      <c r="AN41" s="233">
        <f aca="true" t="shared" si="72" ref="AN41:AN52">IF(ISNUMBER(AH41),AH41,IF(ISNUMBER(AI41),AI41,IF(ISNUMBER(AJ41),AJ41,IF(ISNUMBER(AK41),AK41,IF(ISNUMBER(AL41),AL41,IF(ISNUMBER(AM41),AM41,"ERROR"))))))</f>
        <v>8</v>
      </c>
      <c r="AO41" s="132">
        <f aca="true" t="shared" si="73" ref="AO41:AO52">K41+AA41</f>
        <v>610</v>
      </c>
      <c r="AP41" s="57">
        <f aca="true" t="shared" si="74" ref="AP41:AP52">X41+AN41</f>
        <v>12</v>
      </c>
      <c r="AQ41" s="198">
        <f>AP41+(((100000-AO41)/10000000))</f>
        <v>12.009939</v>
      </c>
      <c r="AR41" s="198"/>
      <c r="AS41" s="198"/>
      <c r="AT41" s="226">
        <f>IF(G41="N",RANK(AQ41,$AQ$5:$AQ88,1),$G$58*4+1)</f>
        <v>24</v>
      </c>
      <c r="AU41" s="226"/>
      <c r="AV41" s="226"/>
      <c r="AW41" s="260">
        <f>AT41</f>
        <v>24</v>
      </c>
      <c r="AX41" s="327">
        <f>SUM(AO41:AO46)</f>
        <v>6380</v>
      </c>
      <c r="AY41" s="324">
        <f>SUM(AP41:AP46)</f>
        <v>65</v>
      </c>
      <c r="AZ41" s="321">
        <f>RANK(AY41,$AY$5:$AY$52,1)</f>
        <v>6</v>
      </c>
    </row>
    <row r="42" spans="4:52" s="44" customFormat="1" ht="14.25" customHeight="1">
      <c r="D42" s="331"/>
      <c r="E42" s="28">
        <v>38</v>
      </c>
      <c r="F42" s="133" t="str">
        <f>IF('Jmený seznam'!D42,'Jmený seznam'!E42)</f>
        <v>Červenka Jiří</v>
      </c>
      <c r="G42" s="186" t="str">
        <f t="shared" si="58"/>
        <v>N</v>
      </c>
      <c r="H42" s="190" t="s">
        <v>20</v>
      </c>
      <c r="I42" s="266" t="s">
        <v>32</v>
      </c>
      <c r="J42" s="52">
        <v>4</v>
      </c>
      <c r="K42" s="219">
        <v>800</v>
      </c>
      <c r="L42" s="192" t="str">
        <f t="shared" si="59"/>
        <v>N</v>
      </c>
      <c r="M42" s="192">
        <f t="shared" si="60"/>
        <v>800</v>
      </c>
      <c r="N42" s="192" t="str">
        <f t="shared" si="61"/>
        <v>N</v>
      </c>
      <c r="O42" s="192" t="str">
        <f t="shared" si="62"/>
        <v>N</v>
      </c>
      <c r="P42" s="192" t="str">
        <f t="shared" si="63"/>
        <v>N</v>
      </c>
      <c r="Q42" s="192" t="str">
        <f t="shared" si="64"/>
        <v>N</v>
      </c>
      <c r="R42" s="193" t="e">
        <f t="shared" si="29"/>
        <v>#VALUE!</v>
      </c>
      <c r="S42" s="193">
        <f t="shared" si="30"/>
        <v>5</v>
      </c>
      <c r="T42" s="193" t="e">
        <f t="shared" si="31"/>
        <v>#VALUE!</v>
      </c>
      <c r="U42" s="193" t="e">
        <f t="shared" si="32"/>
        <v>#VALUE!</v>
      </c>
      <c r="V42" s="193" t="e">
        <f t="shared" si="33"/>
        <v>#VALUE!</v>
      </c>
      <c r="W42" s="193" t="e">
        <f t="shared" si="34"/>
        <v>#VALUE!</v>
      </c>
      <c r="X42" s="234">
        <f t="shared" si="65"/>
        <v>5</v>
      </c>
      <c r="Y42" s="266" t="s">
        <v>33</v>
      </c>
      <c r="Z42" s="52">
        <v>7</v>
      </c>
      <c r="AA42" s="219">
        <v>1020</v>
      </c>
      <c r="AB42" s="192" t="str">
        <f t="shared" si="66"/>
        <v>N</v>
      </c>
      <c r="AC42" s="192" t="str">
        <f t="shared" si="67"/>
        <v>N</v>
      </c>
      <c r="AD42" s="192">
        <f t="shared" si="68"/>
        <v>1020</v>
      </c>
      <c r="AE42" s="192" t="str">
        <f t="shared" si="69"/>
        <v>N</v>
      </c>
      <c r="AF42" s="192" t="str">
        <f t="shared" si="70"/>
        <v>N</v>
      </c>
      <c r="AG42" s="192" t="str">
        <f t="shared" si="71"/>
        <v>N</v>
      </c>
      <c r="AH42" s="193" t="e">
        <f t="shared" si="35"/>
        <v>#VALUE!</v>
      </c>
      <c r="AI42" s="193" t="e">
        <f t="shared" si="36"/>
        <v>#VALUE!</v>
      </c>
      <c r="AJ42" s="193">
        <f t="shared" si="37"/>
        <v>1</v>
      </c>
      <c r="AK42" s="193" t="e">
        <f t="shared" si="38"/>
        <v>#VALUE!</v>
      </c>
      <c r="AL42" s="193" t="e">
        <f t="shared" si="39"/>
        <v>#VALUE!</v>
      </c>
      <c r="AM42" s="193" t="e">
        <f t="shared" si="40"/>
        <v>#VALUE!</v>
      </c>
      <c r="AN42" s="234">
        <f t="shared" si="72"/>
        <v>1</v>
      </c>
      <c r="AO42" s="133">
        <f t="shared" si="73"/>
        <v>1820</v>
      </c>
      <c r="AP42" s="52">
        <f t="shared" si="74"/>
        <v>6</v>
      </c>
      <c r="AQ42" s="197">
        <f>AP42+(((100000-AO42)/10000000))</f>
        <v>6.009818</v>
      </c>
      <c r="AR42" s="197"/>
      <c r="AS42" s="197"/>
      <c r="AT42" s="224">
        <f>IF(G42="N",RANK(AQ42,$AQ$5:$AQ89,1),$G$58*4+1)</f>
        <v>9</v>
      </c>
      <c r="AU42" s="224"/>
      <c r="AV42" s="224"/>
      <c r="AW42" s="261">
        <f>AT42</f>
        <v>9</v>
      </c>
      <c r="AX42" s="328"/>
      <c r="AY42" s="325"/>
      <c r="AZ42" s="322"/>
    </row>
    <row r="43" spans="4:52" s="44" customFormat="1" ht="14.25" customHeight="1">
      <c r="D43" s="331"/>
      <c r="E43" s="28">
        <v>39</v>
      </c>
      <c r="F43" s="133" t="str">
        <f>IF('Jmený seznam'!D43,'Jmený seznam'!E43)</f>
        <v>Šedivý Vojtěch</v>
      </c>
      <c r="G43" s="186" t="str">
        <f t="shared" si="58"/>
        <v>N</v>
      </c>
      <c r="H43" s="190" t="s">
        <v>20</v>
      </c>
      <c r="I43" s="266" t="s">
        <v>34</v>
      </c>
      <c r="J43" s="52">
        <v>4</v>
      </c>
      <c r="K43" s="219">
        <v>315</v>
      </c>
      <c r="L43" s="192" t="str">
        <f t="shared" si="59"/>
        <v>N</v>
      </c>
      <c r="M43" s="192" t="str">
        <f t="shared" si="60"/>
        <v>N</v>
      </c>
      <c r="N43" s="192" t="str">
        <f t="shared" si="61"/>
        <v>N</v>
      </c>
      <c r="O43" s="192">
        <f t="shared" si="62"/>
        <v>315</v>
      </c>
      <c r="P43" s="192" t="str">
        <f t="shared" si="63"/>
        <v>N</v>
      </c>
      <c r="Q43" s="192" t="str">
        <f t="shared" si="64"/>
        <v>N</v>
      </c>
      <c r="R43" s="193" t="e">
        <f t="shared" si="29"/>
        <v>#VALUE!</v>
      </c>
      <c r="S43" s="193" t="e">
        <f t="shared" si="30"/>
        <v>#VALUE!</v>
      </c>
      <c r="T43" s="193" t="e">
        <f t="shared" si="31"/>
        <v>#VALUE!</v>
      </c>
      <c r="U43" s="193">
        <f t="shared" si="32"/>
        <v>5</v>
      </c>
      <c r="V43" s="193" t="e">
        <f t="shared" si="33"/>
        <v>#VALUE!</v>
      </c>
      <c r="W43" s="193" t="e">
        <f t="shared" si="34"/>
        <v>#VALUE!</v>
      </c>
      <c r="X43" s="234">
        <f t="shared" si="65"/>
        <v>5</v>
      </c>
      <c r="Y43" s="266" t="s">
        <v>31</v>
      </c>
      <c r="Z43" s="52">
        <v>7</v>
      </c>
      <c r="AA43" s="219">
        <v>820</v>
      </c>
      <c r="AB43" s="192">
        <f t="shared" si="66"/>
        <v>820</v>
      </c>
      <c r="AC43" s="192" t="str">
        <f t="shared" si="67"/>
        <v>N</v>
      </c>
      <c r="AD43" s="192" t="str">
        <f t="shared" si="68"/>
        <v>N</v>
      </c>
      <c r="AE43" s="192" t="str">
        <f t="shared" si="69"/>
        <v>N</v>
      </c>
      <c r="AF43" s="192" t="str">
        <f t="shared" si="70"/>
        <v>N</v>
      </c>
      <c r="AG43" s="192" t="str">
        <f t="shared" si="71"/>
        <v>N</v>
      </c>
      <c r="AH43" s="193">
        <f t="shared" si="35"/>
        <v>3</v>
      </c>
      <c r="AI43" s="193" t="e">
        <f t="shared" si="36"/>
        <v>#VALUE!</v>
      </c>
      <c r="AJ43" s="193" t="e">
        <f t="shared" si="37"/>
        <v>#VALUE!</v>
      </c>
      <c r="AK43" s="193" t="e">
        <f t="shared" si="38"/>
        <v>#VALUE!</v>
      </c>
      <c r="AL43" s="193" t="e">
        <f t="shared" si="39"/>
        <v>#VALUE!</v>
      </c>
      <c r="AM43" s="193" t="e">
        <f t="shared" si="40"/>
        <v>#VALUE!</v>
      </c>
      <c r="AN43" s="234">
        <f t="shared" si="72"/>
        <v>3</v>
      </c>
      <c r="AO43" s="133">
        <f t="shared" si="73"/>
        <v>1135</v>
      </c>
      <c r="AP43" s="52">
        <f t="shared" si="74"/>
        <v>8</v>
      </c>
      <c r="AQ43" s="197">
        <f>AP43+(((100000-AO43)/10000000))</f>
        <v>8.0098865</v>
      </c>
      <c r="AR43" s="197"/>
      <c r="AS43" s="197"/>
      <c r="AT43" s="224">
        <f>IF(G43="N",RANK(AQ43,$AQ$5:$AQ90,1),$G$58*4+1)</f>
        <v>16</v>
      </c>
      <c r="AU43" s="224"/>
      <c r="AV43" s="224"/>
      <c r="AW43" s="261">
        <f>AT43</f>
        <v>16</v>
      </c>
      <c r="AX43" s="328"/>
      <c r="AY43" s="325"/>
      <c r="AZ43" s="322"/>
    </row>
    <row r="44" spans="4:52" s="44" customFormat="1" ht="14.25" customHeight="1">
      <c r="D44" s="331"/>
      <c r="E44" s="28">
        <v>40</v>
      </c>
      <c r="F44" s="133" t="str">
        <f>IF('Jmený seznam'!D44,'Jmený seznam'!E44)</f>
        <v>Dvořák Matěj</v>
      </c>
      <c r="G44" s="186" t="str">
        <f t="shared" si="58"/>
        <v>N</v>
      </c>
      <c r="H44" s="190" t="s">
        <v>20</v>
      </c>
      <c r="I44" s="266" t="s">
        <v>31</v>
      </c>
      <c r="J44" s="52">
        <v>4</v>
      </c>
      <c r="K44" s="219">
        <v>210</v>
      </c>
      <c r="L44" s="192">
        <f t="shared" si="59"/>
        <v>210</v>
      </c>
      <c r="M44" s="192" t="str">
        <f t="shared" si="60"/>
        <v>N</v>
      </c>
      <c r="N44" s="192" t="str">
        <f t="shared" si="61"/>
        <v>N</v>
      </c>
      <c r="O44" s="192" t="str">
        <f t="shared" si="62"/>
        <v>N</v>
      </c>
      <c r="P44" s="192" t="str">
        <f t="shared" si="63"/>
        <v>N</v>
      </c>
      <c r="Q44" s="192" t="str">
        <f t="shared" si="64"/>
        <v>N</v>
      </c>
      <c r="R44" s="193">
        <f t="shared" si="29"/>
        <v>8</v>
      </c>
      <c r="S44" s="193" t="e">
        <f t="shared" si="30"/>
        <v>#VALUE!</v>
      </c>
      <c r="T44" s="193" t="e">
        <f t="shared" si="31"/>
        <v>#VALUE!</v>
      </c>
      <c r="U44" s="193" t="e">
        <f t="shared" si="32"/>
        <v>#VALUE!</v>
      </c>
      <c r="V44" s="193" t="e">
        <f t="shared" si="33"/>
        <v>#VALUE!</v>
      </c>
      <c r="W44" s="193" t="e">
        <f t="shared" si="34"/>
        <v>#VALUE!</v>
      </c>
      <c r="X44" s="234">
        <f t="shared" si="65"/>
        <v>8</v>
      </c>
      <c r="Y44" s="266" t="s">
        <v>32</v>
      </c>
      <c r="Z44" s="52">
        <v>7</v>
      </c>
      <c r="AA44" s="219">
        <v>110</v>
      </c>
      <c r="AB44" s="192" t="str">
        <f t="shared" si="66"/>
        <v>N</v>
      </c>
      <c r="AC44" s="192">
        <f t="shared" si="67"/>
        <v>110</v>
      </c>
      <c r="AD44" s="192" t="str">
        <f t="shared" si="68"/>
        <v>N</v>
      </c>
      <c r="AE44" s="192" t="str">
        <f t="shared" si="69"/>
        <v>N</v>
      </c>
      <c r="AF44" s="192" t="str">
        <f t="shared" si="70"/>
        <v>N</v>
      </c>
      <c r="AG44" s="192" t="str">
        <f t="shared" si="71"/>
        <v>N</v>
      </c>
      <c r="AH44" s="193" t="e">
        <f t="shared" si="35"/>
        <v>#VALUE!</v>
      </c>
      <c r="AI44" s="193">
        <f t="shared" si="36"/>
        <v>7</v>
      </c>
      <c r="AJ44" s="193" t="e">
        <f t="shared" si="37"/>
        <v>#VALUE!</v>
      </c>
      <c r="AK44" s="193" t="e">
        <f t="shared" si="38"/>
        <v>#VALUE!</v>
      </c>
      <c r="AL44" s="193" t="e">
        <f t="shared" si="39"/>
        <v>#VALUE!</v>
      </c>
      <c r="AM44" s="193" t="e">
        <f t="shared" si="40"/>
        <v>#VALUE!</v>
      </c>
      <c r="AN44" s="234">
        <f t="shared" si="72"/>
        <v>7</v>
      </c>
      <c r="AO44" s="133">
        <f t="shared" si="73"/>
        <v>320</v>
      </c>
      <c r="AP44" s="52">
        <f t="shared" si="74"/>
        <v>15</v>
      </c>
      <c r="AQ44" s="197">
        <f>AP44+(((100000-AO44)/10000000))</f>
        <v>15.009968</v>
      </c>
      <c r="AR44" s="197"/>
      <c r="AS44" s="197"/>
      <c r="AT44" s="224">
        <f>IF(G44="N",RANK(AQ44,$AQ$5:$AQ91,1),$G$58*4+1)</f>
        <v>29</v>
      </c>
      <c r="AU44" s="224"/>
      <c r="AV44" s="224"/>
      <c r="AW44" s="261">
        <f>AT44</f>
        <v>29</v>
      </c>
      <c r="AX44" s="328"/>
      <c r="AY44" s="325"/>
      <c r="AZ44" s="322"/>
    </row>
    <row r="45" spans="4:52" s="44" customFormat="1" ht="14.25" customHeight="1">
      <c r="D45" s="331"/>
      <c r="E45" s="28">
        <v>41</v>
      </c>
      <c r="F45" s="133" t="str">
        <f>IF('Jmený seznam'!D45,'Jmený seznam'!E45)</f>
        <v>Caltová Zuzana</v>
      </c>
      <c r="G45" s="186" t="str">
        <f t="shared" si="58"/>
        <v>N</v>
      </c>
      <c r="H45" s="190" t="s">
        <v>24</v>
      </c>
      <c r="I45" s="266" t="s">
        <v>36</v>
      </c>
      <c r="J45" s="52">
        <v>4</v>
      </c>
      <c r="K45" s="219">
        <v>0</v>
      </c>
      <c r="L45" s="192" t="str">
        <f t="shared" si="59"/>
        <v>N</v>
      </c>
      <c r="M45" s="192" t="str">
        <f t="shared" si="60"/>
        <v>N</v>
      </c>
      <c r="N45" s="192" t="str">
        <f t="shared" si="61"/>
        <v>N</v>
      </c>
      <c r="O45" s="192" t="str">
        <f t="shared" si="62"/>
        <v>N</v>
      </c>
      <c r="P45" s="192" t="str">
        <f t="shared" si="63"/>
        <v>N</v>
      </c>
      <c r="Q45" s="192">
        <f t="shared" si="64"/>
        <v>0</v>
      </c>
      <c r="R45" s="193" t="e">
        <f t="shared" si="29"/>
        <v>#VALUE!</v>
      </c>
      <c r="S45" s="193" t="e">
        <f t="shared" si="30"/>
        <v>#VALUE!</v>
      </c>
      <c r="T45" s="193" t="e">
        <f t="shared" si="31"/>
        <v>#VALUE!</v>
      </c>
      <c r="U45" s="193" t="e">
        <f t="shared" si="32"/>
        <v>#VALUE!</v>
      </c>
      <c r="V45" s="193" t="e">
        <f t="shared" si="33"/>
        <v>#VALUE!</v>
      </c>
      <c r="W45" s="193">
        <f t="shared" si="34"/>
        <v>8</v>
      </c>
      <c r="X45" s="234">
        <f t="shared" si="65"/>
        <v>8</v>
      </c>
      <c r="Y45" s="266" t="s">
        <v>35</v>
      </c>
      <c r="Z45" s="52">
        <v>7</v>
      </c>
      <c r="AA45" s="219">
        <v>0</v>
      </c>
      <c r="AB45" s="192" t="str">
        <f t="shared" si="66"/>
        <v>N</v>
      </c>
      <c r="AC45" s="192" t="str">
        <f t="shared" si="67"/>
        <v>N</v>
      </c>
      <c r="AD45" s="192" t="str">
        <f t="shared" si="68"/>
        <v>N</v>
      </c>
      <c r="AE45" s="192" t="str">
        <f t="shared" si="69"/>
        <v>N</v>
      </c>
      <c r="AF45" s="192">
        <f t="shared" si="70"/>
        <v>0</v>
      </c>
      <c r="AG45" s="192" t="str">
        <f t="shared" si="71"/>
        <v>N</v>
      </c>
      <c r="AH45" s="193" t="e">
        <f t="shared" si="35"/>
        <v>#VALUE!</v>
      </c>
      <c r="AI45" s="193" t="e">
        <f t="shared" si="36"/>
        <v>#VALUE!</v>
      </c>
      <c r="AJ45" s="193" t="e">
        <f t="shared" si="37"/>
        <v>#VALUE!</v>
      </c>
      <c r="AK45" s="193" t="e">
        <f t="shared" si="38"/>
        <v>#VALUE!</v>
      </c>
      <c r="AL45" s="193">
        <f t="shared" si="39"/>
        <v>8</v>
      </c>
      <c r="AM45" s="193" t="e">
        <f t="shared" si="40"/>
        <v>#VALUE!</v>
      </c>
      <c r="AN45" s="234">
        <f t="shared" si="72"/>
        <v>8</v>
      </c>
      <c r="AO45" s="133">
        <f t="shared" si="73"/>
        <v>0</v>
      </c>
      <c r="AP45" s="52">
        <f t="shared" si="74"/>
        <v>16</v>
      </c>
      <c r="AQ45" s="197"/>
      <c r="AR45" s="197">
        <f>AP45+(((100000-AO45)/10000000))</f>
        <v>16.01</v>
      </c>
      <c r="AS45" s="197"/>
      <c r="AT45" s="224"/>
      <c r="AU45" s="224">
        <f>IF(G45="N",RANK(AR45,$AR$5:$AR$52,1),$G$58+1)</f>
        <v>8</v>
      </c>
      <c r="AV45" s="224"/>
      <c r="AW45" s="261">
        <f>AU45</f>
        <v>8</v>
      </c>
      <c r="AX45" s="328"/>
      <c r="AY45" s="325"/>
      <c r="AZ45" s="322"/>
    </row>
    <row r="46" spans="4:52" s="44" customFormat="1" ht="14.25" customHeight="1" thickBot="1">
      <c r="D46" s="332"/>
      <c r="E46" s="29">
        <v>42</v>
      </c>
      <c r="F46" s="139" t="str">
        <f>IF('Jmený seznam'!D46,'Jmený seznam'!E46)</f>
        <v>Linhart Jan</v>
      </c>
      <c r="G46" s="202" t="str">
        <f t="shared" si="58"/>
        <v>N</v>
      </c>
      <c r="H46" s="203" t="s">
        <v>26</v>
      </c>
      <c r="I46" s="267" t="s">
        <v>35</v>
      </c>
      <c r="J46" s="75">
        <v>4</v>
      </c>
      <c r="K46" s="220">
        <v>745</v>
      </c>
      <c r="L46" s="204" t="str">
        <f t="shared" si="59"/>
        <v>N</v>
      </c>
      <c r="M46" s="204" t="str">
        <f t="shared" si="60"/>
        <v>N</v>
      </c>
      <c r="N46" s="204" t="str">
        <f t="shared" si="61"/>
        <v>N</v>
      </c>
      <c r="O46" s="204" t="str">
        <f t="shared" si="62"/>
        <v>N</v>
      </c>
      <c r="P46" s="204">
        <f t="shared" si="63"/>
        <v>745</v>
      </c>
      <c r="Q46" s="204" t="str">
        <f t="shared" si="64"/>
        <v>N</v>
      </c>
      <c r="R46" s="193" t="e">
        <f t="shared" si="29"/>
        <v>#VALUE!</v>
      </c>
      <c r="S46" s="193" t="e">
        <f t="shared" si="30"/>
        <v>#VALUE!</v>
      </c>
      <c r="T46" s="193" t="e">
        <f t="shared" si="31"/>
        <v>#VALUE!</v>
      </c>
      <c r="U46" s="193" t="e">
        <f t="shared" si="32"/>
        <v>#VALUE!</v>
      </c>
      <c r="V46" s="193">
        <f t="shared" si="33"/>
        <v>4</v>
      </c>
      <c r="W46" s="193" t="e">
        <f t="shared" si="34"/>
        <v>#VALUE!</v>
      </c>
      <c r="X46" s="235">
        <f t="shared" si="65"/>
        <v>4</v>
      </c>
      <c r="Y46" s="267" t="s">
        <v>36</v>
      </c>
      <c r="Z46" s="75">
        <v>7</v>
      </c>
      <c r="AA46" s="220">
        <v>1750</v>
      </c>
      <c r="AB46" s="204" t="str">
        <f t="shared" si="66"/>
        <v>N</v>
      </c>
      <c r="AC46" s="204" t="str">
        <f t="shared" si="67"/>
        <v>N</v>
      </c>
      <c r="AD46" s="204" t="str">
        <f t="shared" si="68"/>
        <v>N</v>
      </c>
      <c r="AE46" s="204" t="str">
        <f t="shared" si="69"/>
        <v>N</v>
      </c>
      <c r="AF46" s="204" t="str">
        <f t="shared" si="70"/>
        <v>N</v>
      </c>
      <c r="AG46" s="204">
        <f t="shared" si="71"/>
        <v>1750</v>
      </c>
      <c r="AH46" s="193" t="e">
        <f t="shared" si="35"/>
        <v>#VALUE!</v>
      </c>
      <c r="AI46" s="193" t="e">
        <f t="shared" si="36"/>
        <v>#VALUE!</v>
      </c>
      <c r="AJ46" s="193" t="e">
        <f t="shared" si="37"/>
        <v>#VALUE!</v>
      </c>
      <c r="AK46" s="193" t="e">
        <f t="shared" si="38"/>
        <v>#VALUE!</v>
      </c>
      <c r="AL46" s="193" t="e">
        <f t="shared" si="39"/>
        <v>#VALUE!</v>
      </c>
      <c r="AM46" s="193">
        <f t="shared" si="40"/>
        <v>4</v>
      </c>
      <c r="AN46" s="235">
        <f t="shared" si="72"/>
        <v>4</v>
      </c>
      <c r="AO46" s="139">
        <f t="shared" si="73"/>
        <v>2495</v>
      </c>
      <c r="AP46" s="75">
        <f t="shared" si="74"/>
        <v>8</v>
      </c>
      <c r="AQ46" s="206"/>
      <c r="AR46" s="206"/>
      <c r="AS46" s="206">
        <f>AP46+(((100000-AO46)/10000000))</f>
        <v>8.0097505</v>
      </c>
      <c r="AT46" s="224"/>
      <c r="AU46" s="224"/>
      <c r="AV46" s="224">
        <f>IF(G46="N",RANK(AS46,$AS$5:$AS$52,1),$G$58+1)</f>
        <v>4</v>
      </c>
      <c r="AW46" s="262">
        <f>AV46</f>
        <v>4</v>
      </c>
      <c r="AX46" s="345"/>
      <c r="AY46" s="326"/>
      <c r="AZ46" s="323"/>
    </row>
    <row r="47" spans="4:52" s="44" customFormat="1" ht="14.25" customHeight="1">
      <c r="D47" s="333" t="str">
        <f>IF('Jmený seznam'!D47,'Jmený seznam'!C47)</f>
        <v>Jihočeský</v>
      </c>
      <c r="E47" s="67">
        <v>43</v>
      </c>
      <c r="F47" s="132" t="str">
        <f>IF('Jmený seznam'!D47,'Jmený seznam'!E47)</f>
        <v>Strupek Matěj</v>
      </c>
      <c r="G47" s="187" t="str">
        <f t="shared" si="58"/>
        <v>N</v>
      </c>
      <c r="H47" s="189" t="s">
        <v>20</v>
      </c>
      <c r="I47" s="265" t="s">
        <v>34</v>
      </c>
      <c r="J47" s="57">
        <v>6</v>
      </c>
      <c r="K47" s="218">
        <v>195</v>
      </c>
      <c r="L47" s="194" t="str">
        <f t="shared" si="59"/>
        <v>N</v>
      </c>
      <c r="M47" s="194" t="str">
        <f t="shared" si="60"/>
        <v>N</v>
      </c>
      <c r="N47" s="194" t="str">
        <f t="shared" si="61"/>
        <v>N</v>
      </c>
      <c r="O47" s="194">
        <f t="shared" si="62"/>
        <v>195</v>
      </c>
      <c r="P47" s="194" t="str">
        <f t="shared" si="63"/>
        <v>N</v>
      </c>
      <c r="Q47" s="194" t="str">
        <f t="shared" si="64"/>
        <v>N</v>
      </c>
      <c r="R47" s="213" t="e">
        <f t="shared" si="29"/>
        <v>#VALUE!</v>
      </c>
      <c r="S47" s="213" t="e">
        <f t="shared" si="30"/>
        <v>#VALUE!</v>
      </c>
      <c r="T47" s="213" t="e">
        <f t="shared" si="31"/>
        <v>#VALUE!</v>
      </c>
      <c r="U47" s="213">
        <f t="shared" si="32"/>
        <v>7</v>
      </c>
      <c r="V47" s="213" t="e">
        <f t="shared" si="33"/>
        <v>#VALUE!</v>
      </c>
      <c r="W47" s="213" t="e">
        <f t="shared" si="34"/>
        <v>#VALUE!</v>
      </c>
      <c r="X47" s="233">
        <f t="shared" si="65"/>
        <v>7</v>
      </c>
      <c r="Y47" s="265" t="s">
        <v>33</v>
      </c>
      <c r="Z47" s="57">
        <v>4</v>
      </c>
      <c r="AA47" s="218">
        <v>170</v>
      </c>
      <c r="AB47" s="194" t="str">
        <f t="shared" si="66"/>
        <v>N</v>
      </c>
      <c r="AC47" s="194" t="str">
        <f t="shared" si="67"/>
        <v>N</v>
      </c>
      <c r="AD47" s="194">
        <f t="shared" si="68"/>
        <v>170</v>
      </c>
      <c r="AE47" s="194" t="str">
        <f t="shared" si="69"/>
        <v>N</v>
      </c>
      <c r="AF47" s="194" t="str">
        <f t="shared" si="70"/>
        <v>N</v>
      </c>
      <c r="AG47" s="194" t="str">
        <f t="shared" si="71"/>
        <v>N</v>
      </c>
      <c r="AH47" s="213" t="e">
        <f t="shared" si="35"/>
        <v>#VALUE!</v>
      </c>
      <c r="AI47" s="213" t="e">
        <f t="shared" si="36"/>
        <v>#VALUE!</v>
      </c>
      <c r="AJ47" s="213">
        <f t="shared" si="37"/>
        <v>7</v>
      </c>
      <c r="AK47" s="213" t="e">
        <f t="shared" si="38"/>
        <v>#VALUE!</v>
      </c>
      <c r="AL47" s="213" t="e">
        <f t="shared" si="39"/>
        <v>#VALUE!</v>
      </c>
      <c r="AM47" s="213" t="e">
        <f t="shared" si="40"/>
        <v>#VALUE!</v>
      </c>
      <c r="AN47" s="233">
        <f t="shared" si="72"/>
        <v>7</v>
      </c>
      <c r="AO47" s="132">
        <f t="shared" si="73"/>
        <v>365</v>
      </c>
      <c r="AP47" s="57">
        <f t="shared" si="74"/>
        <v>14</v>
      </c>
      <c r="AQ47" s="198">
        <f>AP47+(((100000-AO47)/10000000))</f>
        <v>14.0099635</v>
      </c>
      <c r="AR47" s="198"/>
      <c r="AS47" s="198"/>
      <c r="AT47" s="226">
        <f>IF(G47="N",RANK(AQ47,$AQ$5:$AQ94,1),$G$58*4+1)</f>
        <v>27</v>
      </c>
      <c r="AU47" s="226"/>
      <c r="AV47" s="226"/>
      <c r="AW47" s="260">
        <f>AT47</f>
        <v>27</v>
      </c>
      <c r="AX47" s="327">
        <f>SUM(AO47:AO52)</f>
        <v>5870</v>
      </c>
      <c r="AY47" s="324">
        <f>SUM(AP47:AP52)</f>
        <v>70</v>
      </c>
      <c r="AZ47" s="321">
        <f>RANK(AY47,$AY$5:$AY$52,1)</f>
        <v>7</v>
      </c>
    </row>
    <row r="48" spans="4:52" s="44" customFormat="1" ht="14.25" customHeight="1">
      <c r="D48" s="331"/>
      <c r="E48" s="28">
        <v>44</v>
      </c>
      <c r="F48" s="133" t="str">
        <f>IF('Jmený seznam'!D48,'Jmený seznam'!E48)</f>
        <v>Lešek Tomáš</v>
      </c>
      <c r="G48" s="186" t="str">
        <f t="shared" si="58"/>
        <v>N</v>
      </c>
      <c r="H48" s="190" t="s">
        <v>20</v>
      </c>
      <c r="I48" s="266" t="s">
        <v>32</v>
      </c>
      <c r="J48" s="52">
        <v>6</v>
      </c>
      <c r="K48" s="219">
        <v>1400</v>
      </c>
      <c r="L48" s="192" t="str">
        <f t="shared" si="59"/>
        <v>N</v>
      </c>
      <c r="M48" s="192">
        <f t="shared" si="60"/>
        <v>1400</v>
      </c>
      <c r="N48" s="192" t="str">
        <f t="shared" si="61"/>
        <v>N</v>
      </c>
      <c r="O48" s="192" t="str">
        <f t="shared" si="62"/>
        <v>N</v>
      </c>
      <c r="P48" s="192" t="str">
        <f t="shared" si="63"/>
        <v>N</v>
      </c>
      <c r="Q48" s="192" t="str">
        <f t="shared" si="64"/>
        <v>N</v>
      </c>
      <c r="R48" s="193" t="e">
        <f t="shared" si="29"/>
        <v>#VALUE!</v>
      </c>
      <c r="S48" s="193">
        <f t="shared" si="30"/>
        <v>4</v>
      </c>
      <c r="T48" s="193" t="e">
        <f t="shared" si="31"/>
        <v>#VALUE!</v>
      </c>
      <c r="U48" s="193" t="e">
        <f t="shared" si="32"/>
        <v>#VALUE!</v>
      </c>
      <c r="V48" s="193" t="e">
        <f t="shared" si="33"/>
        <v>#VALUE!</v>
      </c>
      <c r="W48" s="193" t="e">
        <f t="shared" si="34"/>
        <v>#VALUE!</v>
      </c>
      <c r="X48" s="234">
        <f t="shared" si="65"/>
        <v>4</v>
      </c>
      <c r="Y48" s="266" t="s">
        <v>31</v>
      </c>
      <c r="Z48" s="52">
        <v>4</v>
      </c>
      <c r="AA48" s="219">
        <v>190</v>
      </c>
      <c r="AB48" s="192">
        <f t="shared" si="66"/>
        <v>190</v>
      </c>
      <c r="AC48" s="192" t="str">
        <f t="shared" si="67"/>
        <v>N</v>
      </c>
      <c r="AD48" s="192" t="str">
        <f t="shared" si="68"/>
        <v>N</v>
      </c>
      <c r="AE48" s="192" t="str">
        <f t="shared" si="69"/>
        <v>N</v>
      </c>
      <c r="AF48" s="192" t="str">
        <f t="shared" si="70"/>
        <v>N</v>
      </c>
      <c r="AG48" s="192" t="str">
        <f t="shared" si="71"/>
        <v>N</v>
      </c>
      <c r="AH48" s="193">
        <f t="shared" si="35"/>
        <v>6</v>
      </c>
      <c r="AI48" s="193" t="e">
        <f t="shared" si="36"/>
        <v>#VALUE!</v>
      </c>
      <c r="AJ48" s="193" t="e">
        <f t="shared" si="37"/>
        <v>#VALUE!</v>
      </c>
      <c r="AK48" s="193" t="e">
        <f t="shared" si="38"/>
        <v>#VALUE!</v>
      </c>
      <c r="AL48" s="193" t="e">
        <f t="shared" si="39"/>
        <v>#VALUE!</v>
      </c>
      <c r="AM48" s="193" t="e">
        <f t="shared" si="40"/>
        <v>#VALUE!</v>
      </c>
      <c r="AN48" s="234">
        <f t="shared" si="72"/>
        <v>6</v>
      </c>
      <c r="AO48" s="133">
        <f t="shared" si="73"/>
        <v>1590</v>
      </c>
      <c r="AP48" s="52">
        <f t="shared" si="74"/>
        <v>10</v>
      </c>
      <c r="AQ48" s="197">
        <f>AP48+(((100000-AO48)/10000000))</f>
        <v>10.009841</v>
      </c>
      <c r="AR48" s="197"/>
      <c r="AS48" s="197"/>
      <c r="AT48" s="224">
        <f>IF(G48="N",RANK(AQ48,$AQ$5:$AQ95,1),$G$58*4+1)</f>
        <v>21</v>
      </c>
      <c r="AU48" s="224"/>
      <c r="AV48" s="224"/>
      <c r="AW48" s="261">
        <f>AT48</f>
        <v>21</v>
      </c>
      <c r="AX48" s="328"/>
      <c r="AY48" s="325"/>
      <c r="AZ48" s="322"/>
    </row>
    <row r="49" spans="4:56" s="44" customFormat="1" ht="14.25" customHeight="1">
      <c r="D49" s="331"/>
      <c r="E49" s="28">
        <v>45</v>
      </c>
      <c r="F49" s="133" t="str">
        <f>IF('Jmený seznam'!D49,'Jmený seznam'!E49)</f>
        <v>Nusko Petr</v>
      </c>
      <c r="G49" s="186" t="str">
        <f t="shared" si="58"/>
        <v>N</v>
      </c>
      <c r="H49" s="190" t="s">
        <v>20</v>
      </c>
      <c r="I49" s="266" t="s">
        <v>33</v>
      </c>
      <c r="J49" s="52">
        <v>6</v>
      </c>
      <c r="K49" s="219">
        <v>80</v>
      </c>
      <c r="L49" s="192" t="str">
        <f t="shared" si="59"/>
        <v>N</v>
      </c>
      <c r="M49" s="192" t="str">
        <f t="shared" si="60"/>
        <v>N</v>
      </c>
      <c r="N49" s="192">
        <f t="shared" si="61"/>
        <v>80</v>
      </c>
      <c r="O49" s="192" t="str">
        <f t="shared" si="62"/>
        <v>N</v>
      </c>
      <c r="P49" s="192" t="str">
        <f t="shared" si="63"/>
        <v>N</v>
      </c>
      <c r="Q49" s="192" t="str">
        <f t="shared" si="64"/>
        <v>N</v>
      </c>
      <c r="R49" s="193" t="e">
        <f t="shared" si="29"/>
        <v>#VALUE!</v>
      </c>
      <c r="S49" s="193" t="e">
        <f t="shared" si="30"/>
        <v>#VALUE!</v>
      </c>
      <c r="T49" s="193">
        <f t="shared" si="31"/>
        <v>6</v>
      </c>
      <c r="U49" s="193" t="e">
        <f t="shared" si="32"/>
        <v>#VALUE!</v>
      </c>
      <c r="V49" s="193" t="e">
        <f t="shared" si="33"/>
        <v>#VALUE!</v>
      </c>
      <c r="W49" s="193" t="e">
        <f t="shared" si="34"/>
        <v>#VALUE!</v>
      </c>
      <c r="X49" s="234">
        <f t="shared" si="65"/>
        <v>6</v>
      </c>
      <c r="Y49" s="266" t="s">
        <v>32</v>
      </c>
      <c r="Z49" s="52">
        <v>4</v>
      </c>
      <c r="AA49" s="219">
        <v>1870</v>
      </c>
      <c r="AB49" s="192" t="str">
        <f t="shared" si="66"/>
        <v>N</v>
      </c>
      <c r="AC49" s="192">
        <f t="shared" si="67"/>
        <v>1870</v>
      </c>
      <c r="AD49" s="192" t="str">
        <f t="shared" si="68"/>
        <v>N</v>
      </c>
      <c r="AE49" s="192" t="str">
        <f t="shared" si="69"/>
        <v>N</v>
      </c>
      <c r="AF49" s="192" t="str">
        <f t="shared" si="70"/>
        <v>N</v>
      </c>
      <c r="AG49" s="192" t="str">
        <f t="shared" si="71"/>
        <v>N</v>
      </c>
      <c r="AH49" s="193" t="e">
        <f t="shared" si="35"/>
        <v>#VALUE!</v>
      </c>
      <c r="AI49" s="193">
        <f t="shared" si="36"/>
        <v>3</v>
      </c>
      <c r="AJ49" s="193" t="e">
        <f t="shared" si="37"/>
        <v>#VALUE!</v>
      </c>
      <c r="AK49" s="193" t="e">
        <f t="shared" si="38"/>
        <v>#VALUE!</v>
      </c>
      <c r="AL49" s="193" t="e">
        <f t="shared" si="39"/>
        <v>#VALUE!</v>
      </c>
      <c r="AM49" s="193" t="e">
        <f t="shared" si="40"/>
        <v>#VALUE!</v>
      </c>
      <c r="AN49" s="234">
        <f t="shared" si="72"/>
        <v>3</v>
      </c>
      <c r="AO49" s="133">
        <f t="shared" si="73"/>
        <v>1950</v>
      </c>
      <c r="AP49" s="52">
        <f t="shared" si="74"/>
        <v>9</v>
      </c>
      <c r="AQ49" s="197">
        <f>AP49+(((100000-AO49)/10000000))</f>
        <v>9.009805</v>
      </c>
      <c r="AR49" s="197"/>
      <c r="AS49" s="197"/>
      <c r="AT49" s="224">
        <f>IF(G49="N",RANK(AQ49,$AQ$5:$AQ96,1),$G$58*4+1)</f>
        <v>18</v>
      </c>
      <c r="AU49" s="224"/>
      <c r="AV49" s="224"/>
      <c r="AW49" s="261">
        <f>AT49</f>
        <v>18</v>
      </c>
      <c r="AX49" s="328"/>
      <c r="AY49" s="325"/>
      <c r="AZ49" s="322"/>
      <c r="BD49" s="207"/>
    </row>
    <row r="50" spans="4:52" s="44" customFormat="1" ht="14.25" customHeight="1">
      <c r="D50" s="331"/>
      <c r="E50" s="28">
        <v>46</v>
      </c>
      <c r="F50" s="133" t="str">
        <f>IF('Jmený seznam'!D50,'Jmený seznam'!E50)</f>
        <v>Benešová Karolína</v>
      </c>
      <c r="G50" s="186" t="str">
        <f t="shared" si="58"/>
        <v>N</v>
      </c>
      <c r="H50" s="190" t="s">
        <v>20</v>
      </c>
      <c r="I50" s="266" t="s">
        <v>31</v>
      </c>
      <c r="J50" s="52">
        <v>6</v>
      </c>
      <c r="K50" s="219">
        <v>360</v>
      </c>
      <c r="L50" s="192">
        <f t="shared" si="59"/>
        <v>360</v>
      </c>
      <c r="M50" s="192" t="str">
        <f t="shared" si="60"/>
        <v>N</v>
      </c>
      <c r="N50" s="192" t="str">
        <f t="shared" si="61"/>
        <v>N</v>
      </c>
      <c r="O50" s="192" t="str">
        <f t="shared" si="62"/>
        <v>N</v>
      </c>
      <c r="P50" s="192" t="str">
        <f t="shared" si="63"/>
        <v>N</v>
      </c>
      <c r="Q50" s="192" t="str">
        <f t="shared" si="64"/>
        <v>N</v>
      </c>
      <c r="R50" s="193">
        <f t="shared" si="29"/>
        <v>6</v>
      </c>
      <c r="S50" s="193" t="e">
        <f t="shared" si="30"/>
        <v>#VALUE!</v>
      </c>
      <c r="T50" s="193" t="e">
        <f t="shared" si="31"/>
        <v>#VALUE!</v>
      </c>
      <c r="U50" s="193" t="e">
        <f t="shared" si="32"/>
        <v>#VALUE!</v>
      </c>
      <c r="V50" s="193" t="e">
        <f t="shared" si="33"/>
        <v>#VALUE!</v>
      </c>
      <c r="W50" s="193" t="e">
        <f t="shared" si="34"/>
        <v>#VALUE!</v>
      </c>
      <c r="X50" s="234">
        <f t="shared" si="65"/>
        <v>6</v>
      </c>
      <c r="Y50" s="266" t="s">
        <v>34</v>
      </c>
      <c r="Z50" s="52">
        <v>4</v>
      </c>
      <c r="AA50" s="219">
        <v>0</v>
      </c>
      <c r="AB50" s="192" t="str">
        <f t="shared" si="66"/>
        <v>N</v>
      </c>
      <c r="AC50" s="192" t="str">
        <f t="shared" si="67"/>
        <v>N</v>
      </c>
      <c r="AD50" s="192" t="str">
        <f t="shared" si="68"/>
        <v>N</v>
      </c>
      <c r="AE50" s="192">
        <f t="shared" si="69"/>
        <v>0</v>
      </c>
      <c r="AF50" s="192" t="str">
        <f t="shared" si="70"/>
        <v>N</v>
      </c>
      <c r="AG50" s="192" t="str">
        <f t="shared" si="71"/>
        <v>N</v>
      </c>
      <c r="AH50" s="193" t="e">
        <f t="shared" si="35"/>
        <v>#VALUE!</v>
      </c>
      <c r="AI50" s="193" t="e">
        <f t="shared" si="36"/>
        <v>#VALUE!</v>
      </c>
      <c r="AJ50" s="193" t="e">
        <f t="shared" si="37"/>
        <v>#VALUE!</v>
      </c>
      <c r="AK50" s="193">
        <f t="shared" si="38"/>
        <v>8</v>
      </c>
      <c r="AL50" s="193" t="e">
        <f t="shared" si="39"/>
        <v>#VALUE!</v>
      </c>
      <c r="AM50" s="193" t="e">
        <f t="shared" si="40"/>
        <v>#VALUE!</v>
      </c>
      <c r="AN50" s="234">
        <f t="shared" si="72"/>
        <v>8</v>
      </c>
      <c r="AO50" s="133">
        <f t="shared" si="73"/>
        <v>360</v>
      </c>
      <c r="AP50" s="52">
        <f t="shared" si="74"/>
        <v>14</v>
      </c>
      <c r="AQ50" s="197">
        <f>AP50+(((100000-AO50)/10000000))</f>
        <v>14.009964</v>
      </c>
      <c r="AR50" s="197"/>
      <c r="AS50" s="197"/>
      <c r="AT50" s="224">
        <f>IF(G50="N",RANK(AQ50,$AQ$5:$AQ97,1),$G$58*4+1)</f>
        <v>28</v>
      </c>
      <c r="AU50" s="224"/>
      <c r="AV50" s="224"/>
      <c r="AW50" s="261">
        <f>AT50</f>
        <v>28</v>
      </c>
      <c r="AX50" s="328"/>
      <c r="AY50" s="325"/>
      <c r="AZ50" s="322"/>
    </row>
    <row r="51" spans="4:52" ht="14.25" customHeight="1">
      <c r="D51" s="331"/>
      <c r="E51" s="28">
        <v>47</v>
      </c>
      <c r="F51" s="133" t="str">
        <f>IF('Jmený seznam'!D51,'Jmený seznam'!E51)</f>
        <v>Tomšíková Veronika</v>
      </c>
      <c r="G51" s="186" t="str">
        <f t="shared" si="58"/>
        <v>N</v>
      </c>
      <c r="H51" s="190" t="s">
        <v>24</v>
      </c>
      <c r="I51" s="266" t="s">
        <v>36</v>
      </c>
      <c r="J51" s="52">
        <v>6</v>
      </c>
      <c r="K51" s="219">
        <v>560</v>
      </c>
      <c r="L51" s="192" t="str">
        <f t="shared" si="59"/>
        <v>N</v>
      </c>
      <c r="M51" s="192" t="str">
        <f t="shared" si="60"/>
        <v>N</v>
      </c>
      <c r="N51" s="192" t="str">
        <f t="shared" si="61"/>
        <v>N</v>
      </c>
      <c r="O51" s="192" t="str">
        <f t="shared" si="62"/>
        <v>N</v>
      </c>
      <c r="P51" s="192" t="str">
        <f t="shared" si="63"/>
        <v>N</v>
      </c>
      <c r="Q51" s="192">
        <f t="shared" si="64"/>
        <v>560</v>
      </c>
      <c r="R51" s="193" t="e">
        <f t="shared" si="29"/>
        <v>#VALUE!</v>
      </c>
      <c r="S51" s="193" t="e">
        <f t="shared" si="30"/>
        <v>#VALUE!</v>
      </c>
      <c r="T51" s="193" t="e">
        <f t="shared" si="31"/>
        <v>#VALUE!</v>
      </c>
      <c r="U51" s="193" t="e">
        <f t="shared" si="32"/>
        <v>#VALUE!</v>
      </c>
      <c r="V51" s="193" t="e">
        <f t="shared" si="33"/>
        <v>#VALUE!</v>
      </c>
      <c r="W51" s="193">
        <f t="shared" si="34"/>
        <v>3</v>
      </c>
      <c r="X51" s="234">
        <f t="shared" si="65"/>
        <v>3</v>
      </c>
      <c r="Y51" s="266" t="s">
        <v>35</v>
      </c>
      <c r="Z51" s="52">
        <v>4</v>
      </c>
      <c r="AA51" s="219">
        <v>0</v>
      </c>
      <c r="AB51" s="192" t="str">
        <f t="shared" si="66"/>
        <v>N</v>
      </c>
      <c r="AC51" s="192" t="str">
        <f t="shared" si="67"/>
        <v>N</v>
      </c>
      <c r="AD51" s="192" t="str">
        <f t="shared" si="68"/>
        <v>N</v>
      </c>
      <c r="AE51" s="192" t="str">
        <f t="shared" si="69"/>
        <v>N</v>
      </c>
      <c r="AF51" s="192">
        <f t="shared" si="70"/>
        <v>0</v>
      </c>
      <c r="AG51" s="192" t="str">
        <f t="shared" si="71"/>
        <v>N</v>
      </c>
      <c r="AH51" s="193" t="e">
        <f t="shared" si="35"/>
        <v>#VALUE!</v>
      </c>
      <c r="AI51" s="193" t="e">
        <f t="shared" si="36"/>
        <v>#VALUE!</v>
      </c>
      <c r="AJ51" s="193" t="e">
        <f t="shared" si="37"/>
        <v>#VALUE!</v>
      </c>
      <c r="AK51" s="193" t="e">
        <f t="shared" si="38"/>
        <v>#VALUE!</v>
      </c>
      <c r="AL51" s="193">
        <f t="shared" si="39"/>
        <v>8</v>
      </c>
      <c r="AM51" s="193" t="e">
        <f t="shared" si="40"/>
        <v>#VALUE!</v>
      </c>
      <c r="AN51" s="234">
        <f t="shared" si="72"/>
        <v>8</v>
      </c>
      <c r="AO51" s="133">
        <f t="shared" si="73"/>
        <v>560</v>
      </c>
      <c r="AP51" s="52">
        <f t="shared" si="74"/>
        <v>11</v>
      </c>
      <c r="AQ51" s="197"/>
      <c r="AR51" s="197">
        <f>AP51+(((100000-AO51)/10000000))</f>
        <v>11.009944</v>
      </c>
      <c r="AS51" s="197"/>
      <c r="AT51" s="224"/>
      <c r="AU51" s="224">
        <f>IF(G51="N",RANK(AR51,$AR$5:$AR$52,1),$G$58+1)</f>
        <v>5</v>
      </c>
      <c r="AV51" s="224"/>
      <c r="AW51" s="261">
        <f>AU51</f>
        <v>5</v>
      </c>
      <c r="AX51" s="328"/>
      <c r="AY51" s="325"/>
      <c r="AZ51" s="322"/>
    </row>
    <row r="52" spans="4:52" ht="14.25" customHeight="1" thickBot="1">
      <c r="D52" s="332"/>
      <c r="E52" s="29">
        <v>48</v>
      </c>
      <c r="F52" s="134" t="str">
        <f>IF('Jmený seznam'!D52,'Jmený seznam'!E52)</f>
        <v>Sepekář Milan</v>
      </c>
      <c r="G52" s="188" t="str">
        <f t="shared" si="58"/>
        <v>N</v>
      </c>
      <c r="H52" s="191" t="s">
        <v>26</v>
      </c>
      <c r="I52" s="268" t="s">
        <v>35</v>
      </c>
      <c r="J52" s="63">
        <v>6</v>
      </c>
      <c r="K52" s="222">
        <v>455</v>
      </c>
      <c r="L52" s="195" t="str">
        <f t="shared" si="59"/>
        <v>N</v>
      </c>
      <c r="M52" s="195" t="str">
        <f t="shared" si="60"/>
        <v>N</v>
      </c>
      <c r="N52" s="195" t="str">
        <f t="shared" si="61"/>
        <v>N</v>
      </c>
      <c r="O52" s="195" t="str">
        <f t="shared" si="62"/>
        <v>N</v>
      </c>
      <c r="P52" s="195">
        <f t="shared" si="63"/>
        <v>455</v>
      </c>
      <c r="Q52" s="195" t="str">
        <f t="shared" si="64"/>
        <v>N</v>
      </c>
      <c r="R52" s="196" t="e">
        <f t="shared" si="29"/>
        <v>#VALUE!</v>
      </c>
      <c r="S52" s="196" t="e">
        <f t="shared" si="30"/>
        <v>#VALUE!</v>
      </c>
      <c r="T52" s="196" t="e">
        <f t="shared" si="31"/>
        <v>#VALUE!</v>
      </c>
      <c r="U52" s="196" t="e">
        <f t="shared" si="32"/>
        <v>#VALUE!</v>
      </c>
      <c r="V52" s="196">
        <f t="shared" si="33"/>
        <v>5</v>
      </c>
      <c r="W52" s="196" t="e">
        <f t="shared" si="34"/>
        <v>#VALUE!</v>
      </c>
      <c r="X52" s="236">
        <f t="shared" si="65"/>
        <v>5</v>
      </c>
      <c r="Y52" s="268" t="s">
        <v>36</v>
      </c>
      <c r="Z52" s="63">
        <v>4</v>
      </c>
      <c r="AA52" s="222">
        <v>590</v>
      </c>
      <c r="AB52" s="195" t="str">
        <f t="shared" si="66"/>
        <v>N</v>
      </c>
      <c r="AC52" s="195" t="str">
        <f t="shared" si="67"/>
        <v>N</v>
      </c>
      <c r="AD52" s="195" t="str">
        <f t="shared" si="68"/>
        <v>N</v>
      </c>
      <c r="AE52" s="195" t="str">
        <f t="shared" si="69"/>
        <v>N</v>
      </c>
      <c r="AF52" s="195" t="str">
        <f t="shared" si="70"/>
        <v>N</v>
      </c>
      <c r="AG52" s="195">
        <f t="shared" si="71"/>
        <v>590</v>
      </c>
      <c r="AH52" s="196" t="e">
        <f t="shared" si="35"/>
        <v>#VALUE!</v>
      </c>
      <c r="AI52" s="196" t="e">
        <f t="shared" si="36"/>
        <v>#VALUE!</v>
      </c>
      <c r="AJ52" s="196" t="e">
        <f t="shared" si="37"/>
        <v>#VALUE!</v>
      </c>
      <c r="AK52" s="196" t="e">
        <f t="shared" si="38"/>
        <v>#VALUE!</v>
      </c>
      <c r="AL52" s="196" t="e">
        <f t="shared" si="39"/>
        <v>#VALUE!</v>
      </c>
      <c r="AM52" s="196">
        <f t="shared" si="40"/>
        <v>7</v>
      </c>
      <c r="AN52" s="236">
        <f t="shared" si="72"/>
        <v>7</v>
      </c>
      <c r="AO52" s="134">
        <f t="shared" si="73"/>
        <v>1045</v>
      </c>
      <c r="AP52" s="63">
        <f t="shared" si="74"/>
        <v>12</v>
      </c>
      <c r="AQ52" s="199"/>
      <c r="AR52" s="199"/>
      <c r="AS52" s="199">
        <f>AP52+(((100000-AO52)/10000000))</f>
        <v>12.0098955</v>
      </c>
      <c r="AT52" s="225"/>
      <c r="AU52" s="225"/>
      <c r="AV52" s="225">
        <f>IF(G52="N",RANK(AS52,$AS$5:$AS$52,1),$G$58+1)</f>
        <v>7</v>
      </c>
      <c r="AW52" s="263">
        <f>AV52</f>
        <v>7</v>
      </c>
      <c r="AX52" s="329"/>
      <c r="AY52" s="334"/>
      <c r="AZ52" s="335"/>
    </row>
    <row r="53" spans="4:52" s="118" customFormat="1" ht="14.25" customHeight="1">
      <c r="D53" s="115"/>
      <c r="E53" s="208"/>
      <c r="F53" s="209"/>
      <c r="G53" s="210"/>
      <c r="H53" s="210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11"/>
      <c r="AY53" s="211"/>
      <c r="AZ53" s="240">
        <f>SUM(AX5:AX52)</f>
        <v>93465</v>
      </c>
    </row>
    <row r="54" spans="4:52" s="118" customFormat="1" ht="14.25" customHeight="1">
      <c r="D54" s="115"/>
      <c r="E54" s="208"/>
      <c r="F54" s="209"/>
      <c r="G54" s="210"/>
      <c r="H54" s="210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11"/>
      <c r="AY54" s="211"/>
      <c r="AZ54" s="115"/>
    </row>
    <row r="55" spans="6:51" ht="14.25" customHeight="1" hidden="1">
      <c r="F55" s="227" t="s">
        <v>59</v>
      </c>
      <c r="G55" s="228">
        <v>32</v>
      </c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</row>
    <row r="56" spans="6:7" ht="14.25" customHeight="1" hidden="1">
      <c r="F56" s="229" t="s">
        <v>60</v>
      </c>
      <c r="G56" s="230">
        <v>8</v>
      </c>
    </row>
    <row r="57" spans="6:7" ht="14.25" customHeight="1" hidden="1">
      <c r="F57" s="229" t="s">
        <v>61</v>
      </c>
      <c r="G57" s="230">
        <v>8</v>
      </c>
    </row>
    <row r="58" spans="6:7" ht="14.25" customHeight="1" hidden="1" thickBot="1">
      <c r="F58" s="231" t="s">
        <v>62</v>
      </c>
      <c r="G58" s="232">
        <v>8</v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</sheetData>
  <sheetProtection/>
  <mergeCells count="51">
    <mergeCell ref="D47:D52"/>
    <mergeCell ref="AX47:AX52"/>
    <mergeCell ref="AY47:AY52"/>
    <mergeCell ref="AZ47:AZ52"/>
    <mergeCell ref="D35:D40"/>
    <mergeCell ref="AX35:AX40"/>
    <mergeCell ref="AY35:AY40"/>
    <mergeCell ref="AZ35:AZ40"/>
    <mergeCell ref="D41:D46"/>
    <mergeCell ref="AX41:AX46"/>
    <mergeCell ref="AY41:AY46"/>
    <mergeCell ref="AZ41:AZ46"/>
    <mergeCell ref="D1:AZ1"/>
    <mergeCell ref="D29:D34"/>
    <mergeCell ref="AX29:AX34"/>
    <mergeCell ref="AY29:AY34"/>
    <mergeCell ref="AZ29:AZ34"/>
    <mergeCell ref="E3:E4"/>
    <mergeCell ref="D5:D10"/>
    <mergeCell ref="D2:D4"/>
    <mergeCell ref="AX23:AX28"/>
    <mergeCell ref="AY23:AY28"/>
    <mergeCell ref="D23:D28"/>
    <mergeCell ref="AX2:AZ2"/>
    <mergeCell ref="AZ5:AZ10"/>
    <mergeCell ref="I3:J3"/>
    <mergeCell ref="K3:K4"/>
    <mergeCell ref="F3:F4"/>
    <mergeCell ref="H3:H4"/>
    <mergeCell ref="I2:X2"/>
    <mergeCell ref="Y2:AN2"/>
    <mergeCell ref="Y3:Z3"/>
    <mergeCell ref="AA3:AA4"/>
    <mergeCell ref="AZ23:AZ28"/>
    <mergeCell ref="AX17:AX22"/>
    <mergeCell ref="AY17:AY22"/>
    <mergeCell ref="D17:D22"/>
    <mergeCell ref="D11:D16"/>
    <mergeCell ref="AZ17:AZ22"/>
    <mergeCell ref="AO3:AO4"/>
    <mergeCell ref="AP3:AP4"/>
    <mergeCell ref="AO2:AW2"/>
    <mergeCell ref="AY11:AY16"/>
    <mergeCell ref="AZ11:AZ16"/>
    <mergeCell ref="AX3:AX4"/>
    <mergeCell ref="AZ3:AZ4"/>
    <mergeCell ref="AY3:AY4"/>
    <mergeCell ref="AX5:AX10"/>
    <mergeCell ref="AX11:AX16"/>
    <mergeCell ref="AY5:AY10"/>
    <mergeCell ref="AW3:AW4"/>
  </mergeCells>
  <conditionalFormatting sqref="AW5:AW52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dataValidations count="3">
    <dataValidation type="list" allowBlank="1" showErrorMessage="1" errorTitle="Pozor" error="chyba: žákovské sektory ( B , C , D , E )" sqref="I5:I8 I29:I32 I41:I44 I11:I14 I17:I20 I47:I50 I35:I38 I23:I26 Y5:Y8 Y29:Y32 Y41:Y44 Y11:Y14 Y17:Y20 Y47:Y50 Y35:Y38 Y23:Y26">
      <formula1>$A$5:$A$8</formula1>
    </dataValidation>
    <dataValidation type="list" allowBlank="1" showErrorMessage="1" errorTitle="Pozor" error="chyba: sektory žákyně a junioři jsou pouze ( A , F )" sqref="I9:I10 I33:I34 I39:I40 I51:I54 I15:I16 I21:I22 I27:I28 Y51:Y54 I45:I46 Y9:Y10 Y33:Y34 Y39:Y40 Y15:Y16 Y21:Y22 Y27:Y28 Y45:Y46">
      <formula1>$A$9:$A$10</formula1>
    </dataValidation>
    <dataValidation type="list" allowBlank="1" showErrorMessage="1" errorTitle="Pozor" error="chyba: nelze zadat číslo mimo rozsah 1 - 8  ( Počet družstev )" sqref="J5:J52 Z5:Z52">
      <formula1>$B$5:$B$12</formula1>
    </dataValidation>
  </dataValidations>
  <printOptions/>
  <pageMargins left="0.51" right="0.33" top="0.49" bottom="0.7874015748031497" header="0" footer="0"/>
  <pageSetup fitToHeight="1" fitToWidth="1" horizontalDpi="600" verticalDpi="600" orientation="portrait" paperSize="9" scale="91" r:id="rId1"/>
  <colBreaks count="1" manualBreakCount="1">
    <brk id="5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1">
      <selection activeCell="O13" sqref="O13"/>
    </sheetView>
  </sheetViews>
  <sheetFormatPr defaultColWidth="14.421875" defaultRowHeight="15" customHeight="1"/>
  <cols>
    <col min="1" max="1" width="0.13671875" style="118" customWidth="1"/>
    <col min="2" max="3" width="0.13671875" style="250" customWidth="1"/>
    <col min="4" max="4" width="0.13671875" style="118" customWidth="1"/>
    <col min="5" max="6" width="3.28125" style="0" customWidth="1"/>
    <col min="7" max="7" width="20.7109375" style="0" customWidth="1"/>
    <col min="8" max="8" width="4.7109375" style="0" customWidth="1"/>
    <col min="9" max="9" width="5.28125" style="0" customWidth="1"/>
    <col min="10" max="11" width="5.7109375" style="0" customWidth="1"/>
    <col min="12" max="12" width="7.7109375" style="0" customWidth="1"/>
    <col min="13" max="14" width="5.28125" style="0" customWidth="1"/>
    <col min="15" max="15" width="7.00390625" style="0" customWidth="1"/>
    <col min="16" max="16" width="6.140625" style="0" customWidth="1"/>
    <col min="17" max="17" width="6.7109375" style="0" customWidth="1"/>
    <col min="18" max="23" width="6.7109375" style="118" hidden="1" customWidth="1"/>
    <col min="24" max="25" width="3.7109375" style="0" customWidth="1"/>
    <col min="26" max="26" width="3.421875" style="0" customWidth="1"/>
    <col min="27" max="36" width="8.7109375" style="0" customWidth="1"/>
  </cols>
  <sheetData>
    <row r="1" spans="5:26" ht="18" customHeight="1" thickBot="1">
      <c r="E1" s="370" t="s">
        <v>37</v>
      </c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</row>
    <row r="2" spans="5:26" ht="19.5" customHeight="1" thickBot="1">
      <c r="E2" s="374" t="s">
        <v>0</v>
      </c>
      <c r="F2" s="125"/>
      <c r="G2" s="57"/>
      <c r="H2" s="114"/>
      <c r="I2" s="376" t="s">
        <v>38</v>
      </c>
      <c r="J2" s="377"/>
      <c r="K2" s="377"/>
      <c r="L2" s="377"/>
      <c r="M2" s="377"/>
      <c r="N2" s="377"/>
      <c r="O2" s="377"/>
      <c r="P2" s="377"/>
      <c r="Q2" s="378" t="s">
        <v>19</v>
      </c>
      <c r="R2" s="379"/>
      <c r="S2" s="379"/>
      <c r="T2" s="379"/>
      <c r="U2" s="379"/>
      <c r="V2" s="379"/>
      <c r="W2" s="379"/>
      <c r="X2" s="377"/>
      <c r="Y2" s="366" t="s">
        <v>21</v>
      </c>
      <c r="Z2" s="367"/>
    </row>
    <row r="3" spans="5:26" ht="30.75" customHeight="1">
      <c r="E3" s="375"/>
      <c r="F3" s="120" t="s">
        <v>6</v>
      </c>
      <c r="G3" s="122" t="s">
        <v>15</v>
      </c>
      <c r="H3" s="121" t="s">
        <v>17</v>
      </c>
      <c r="I3" s="368" t="s">
        <v>39</v>
      </c>
      <c r="J3" s="368" t="s">
        <v>40</v>
      </c>
      <c r="K3" s="325"/>
      <c r="L3" s="325"/>
      <c r="M3" s="368" t="s">
        <v>41</v>
      </c>
      <c r="N3" s="368" t="s">
        <v>42</v>
      </c>
      <c r="O3" s="368" t="s">
        <v>43</v>
      </c>
      <c r="P3" s="369"/>
      <c r="Q3" s="384" t="s">
        <v>44</v>
      </c>
      <c r="R3" s="141"/>
      <c r="S3" s="141"/>
      <c r="T3" s="141"/>
      <c r="U3" s="141"/>
      <c r="V3" s="141"/>
      <c r="W3" s="141"/>
      <c r="X3" s="372" t="s">
        <v>45</v>
      </c>
      <c r="Y3" s="371" t="s">
        <v>14</v>
      </c>
      <c r="Z3" s="380" t="s">
        <v>13</v>
      </c>
    </row>
    <row r="4" spans="5:26" ht="21" customHeight="1" thickBot="1">
      <c r="E4" s="309"/>
      <c r="F4" s="126"/>
      <c r="G4" s="123"/>
      <c r="H4" s="75"/>
      <c r="I4" s="326"/>
      <c r="J4" s="127" t="s">
        <v>46</v>
      </c>
      <c r="K4" s="127" t="s">
        <v>47</v>
      </c>
      <c r="L4" s="128" t="s">
        <v>48</v>
      </c>
      <c r="M4" s="326"/>
      <c r="N4" s="326"/>
      <c r="O4" s="128" t="s">
        <v>49</v>
      </c>
      <c r="P4" s="129" t="s">
        <v>50</v>
      </c>
      <c r="Q4" s="309"/>
      <c r="R4" s="279" t="s">
        <v>20</v>
      </c>
      <c r="S4" s="279" t="s">
        <v>24</v>
      </c>
      <c r="T4" s="279" t="s">
        <v>26</v>
      </c>
      <c r="U4" s="279" t="s">
        <v>114</v>
      </c>
      <c r="V4" s="279" t="s">
        <v>115</v>
      </c>
      <c r="W4" s="279" t="s">
        <v>116</v>
      </c>
      <c r="X4" s="373"/>
      <c r="Y4" s="329"/>
      <c r="Z4" s="335"/>
    </row>
    <row r="5" spans="1:28" ht="15.75" customHeight="1">
      <c r="A5" s="91">
        <v>0</v>
      </c>
      <c r="B5" s="91">
        <v>0</v>
      </c>
      <c r="E5" s="330" t="str">
        <f>IF('Jmený seznam'!D5,'Jmený seznam'!C5)</f>
        <v>Město Praha</v>
      </c>
      <c r="F5" s="30">
        <v>1</v>
      </c>
      <c r="G5" s="132" t="str">
        <f>IF('Jmený seznam'!D5,'Jmený seznam'!E5)</f>
        <v>Hurníková Martina</v>
      </c>
      <c r="H5" s="117" t="s">
        <v>20</v>
      </c>
      <c r="I5" s="151">
        <v>0</v>
      </c>
      <c r="J5" s="152">
        <v>23.03</v>
      </c>
      <c r="K5" s="152">
        <v>19.56</v>
      </c>
      <c r="L5" s="152">
        <f>SUM(J5,K5)</f>
        <v>42.59</v>
      </c>
      <c r="M5" s="151">
        <v>36</v>
      </c>
      <c r="N5" s="151">
        <v>25</v>
      </c>
      <c r="O5" s="151">
        <v>43.181</v>
      </c>
      <c r="P5" s="153">
        <f aca="true" t="shared" si="0" ref="P5:P28">O5*1.5</f>
        <v>64.7715</v>
      </c>
      <c r="Q5" s="154">
        <f>SUM(I5,L5,M5,N5,P5)</f>
        <v>168.3615</v>
      </c>
      <c r="R5" s="144">
        <f>Q5</f>
        <v>168.3615</v>
      </c>
      <c r="S5" s="144"/>
      <c r="T5" s="144"/>
      <c r="U5" s="150">
        <f>RANK(R5,$R$5:$R$52,0)</f>
        <v>27</v>
      </c>
      <c r="V5" s="147"/>
      <c r="W5" s="147"/>
      <c r="X5" s="46">
        <f>U5</f>
        <v>27</v>
      </c>
      <c r="Y5" s="381">
        <f>SUM(X5:X10)</f>
        <v>116</v>
      </c>
      <c r="Z5" s="383">
        <f>RANK(Y5,$Y$5:$Y$47,1)</f>
        <v>7</v>
      </c>
      <c r="AB5" s="273"/>
    </row>
    <row r="6" spans="1:26" ht="14.25" customHeight="1">
      <c r="A6" s="91">
        <v>5</v>
      </c>
      <c r="B6" s="91">
        <v>2</v>
      </c>
      <c r="E6" s="331"/>
      <c r="F6" s="28">
        <v>2</v>
      </c>
      <c r="G6" s="133" t="str">
        <f>IF('Jmený seznam'!D6,'Jmený seznam'!E6)</f>
        <v>Hurníková Markéta</v>
      </c>
      <c r="H6" s="130" t="s">
        <v>20</v>
      </c>
      <c r="I6" s="155">
        <v>0</v>
      </c>
      <c r="J6" s="156">
        <v>19.85</v>
      </c>
      <c r="K6" s="156">
        <v>19.98</v>
      </c>
      <c r="L6" s="156">
        <f>SUM(J6,K6)</f>
        <v>39.83</v>
      </c>
      <c r="M6" s="155">
        <v>48</v>
      </c>
      <c r="N6" s="155">
        <v>15</v>
      </c>
      <c r="O6" s="155">
        <v>39.83</v>
      </c>
      <c r="P6" s="157">
        <f t="shared" si="0"/>
        <v>59.745</v>
      </c>
      <c r="Q6" s="158">
        <f aca="true" t="shared" si="1" ref="Q6:Q28">SUM(I6,L6,M6,N6,P6)</f>
        <v>162.575</v>
      </c>
      <c r="R6" s="145">
        <f>Q6</f>
        <v>162.575</v>
      </c>
      <c r="S6" s="145"/>
      <c r="T6" s="145"/>
      <c r="U6" s="148">
        <f>RANK(R6,$R$5:$R$52,0)</f>
        <v>28</v>
      </c>
      <c r="V6" s="148"/>
      <c r="W6" s="148"/>
      <c r="X6" s="47">
        <f>U6</f>
        <v>28</v>
      </c>
      <c r="Y6" s="364"/>
      <c r="Z6" s="322"/>
    </row>
    <row r="7" spans="1:26" ht="14.25" customHeight="1">
      <c r="A7" s="91">
        <v>10</v>
      </c>
      <c r="B7" s="91">
        <v>4</v>
      </c>
      <c r="E7" s="331"/>
      <c r="F7" s="28">
        <v>3</v>
      </c>
      <c r="G7" s="133" t="str">
        <f>IF('Jmený seznam'!D7,'Jmený seznam'!E7)</f>
        <v>Hurníková Michaela</v>
      </c>
      <c r="H7" s="130" t="s">
        <v>20</v>
      </c>
      <c r="I7" s="155">
        <v>0</v>
      </c>
      <c r="J7" s="156">
        <v>17.36</v>
      </c>
      <c r="K7" s="156">
        <v>16.34</v>
      </c>
      <c r="L7" s="156">
        <f>SUM(J7,K7)</f>
        <v>33.7</v>
      </c>
      <c r="M7" s="155">
        <v>34</v>
      </c>
      <c r="N7" s="155">
        <v>25</v>
      </c>
      <c r="O7" s="155">
        <v>36.83</v>
      </c>
      <c r="P7" s="157">
        <f t="shared" si="0"/>
        <v>55.245</v>
      </c>
      <c r="Q7" s="158">
        <f t="shared" si="1"/>
        <v>147.945</v>
      </c>
      <c r="R7" s="145">
        <f>Q7</f>
        <v>147.945</v>
      </c>
      <c r="S7" s="145"/>
      <c r="T7" s="145"/>
      <c r="U7" s="148">
        <f>RANK(R7,$R$5:$R$52,0)</f>
        <v>31</v>
      </c>
      <c r="V7" s="148"/>
      <c r="W7" s="148"/>
      <c r="X7" s="47">
        <f>U7</f>
        <v>31</v>
      </c>
      <c r="Y7" s="364"/>
      <c r="Z7" s="322"/>
    </row>
    <row r="8" spans="1:26" ht="14.25" customHeight="1">
      <c r="A8" s="91">
        <v>15</v>
      </c>
      <c r="B8" s="91">
        <v>6</v>
      </c>
      <c r="E8" s="331"/>
      <c r="F8" s="28">
        <v>4</v>
      </c>
      <c r="G8" s="133" t="str">
        <f>IF('Jmený seznam'!D8,'Jmený seznam'!E8)</f>
        <v>Těšínský Jindřich</v>
      </c>
      <c r="H8" s="130" t="s">
        <v>20</v>
      </c>
      <c r="I8" s="155">
        <v>35</v>
      </c>
      <c r="J8" s="156">
        <v>33.62</v>
      </c>
      <c r="K8" s="156">
        <v>33.47</v>
      </c>
      <c r="L8" s="156">
        <f>SUM(J8,K8)</f>
        <v>67.09</v>
      </c>
      <c r="M8" s="155">
        <v>58</v>
      </c>
      <c r="N8" s="155">
        <v>50</v>
      </c>
      <c r="O8" s="155">
        <v>53.998</v>
      </c>
      <c r="P8" s="157">
        <f t="shared" si="0"/>
        <v>80.997</v>
      </c>
      <c r="Q8" s="158">
        <f t="shared" si="1"/>
        <v>291.087</v>
      </c>
      <c r="R8" s="145">
        <f>Q8</f>
        <v>291.087</v>
      </c>
      <c r="S8" s="145"/>
      <c r="T8" s="145"/>
      <c r="U8" s="148">
        <f>RANK(R8,$R$5:$R$52,0)</f>
        <v>15</v>
      </c>
      <c r="V8" s="148"/>
      <c r="W8" s="148"/>
      <c r="X8" s="47">
        <f>U8</f>
        <v>15</v>
      </c>
      <c r="Y8" s="364"/>
      <c r="Z8" s="322"/>
    </row>
    <row r="9" spans="1:26" ht="14.25" customHeight="1">
      <c r="A9" s="91">
        <v>20</v>
      </c>
      <c r="B9" s="91">
        <v>8</v>
      </c>
      <c r="E9" s="331"/>
      <c r="F9" s="28">
        <v>5</v>
      </c>
      <c r="G9" s="133" t="str">
        <f>IF('Jmený seznam'!D9,'Jmený seznam'!E9)</f>
        <v>Tvrdá Nikola</v>
      </c>
      <c r="H9" s="130" t="s">
        <v>24</v>
      </c>
      <c r="I9" s="155">
        <v>15</v>
      </c>
      <c r="J9" s="156">
        <v>31.61</v>
      </c>
      <c r="K9" s="156">
        <v>31.05</v>
      </c>
      <c r="L9" s="156">
        <f>SUM(J9,K9)</f>
        <v>62.66</v>
      </c>
      <c r="M9" s="155">
        <v>86</v>
      </c>
      <c r="N9" s="155">
        <v>35</v>
      </c>
      <c r="O9" s="155">
        <v>40.61</v>
      </c>
      <c r="P9" s="157">
        <f t="shared" si="0"/>
        <v>60.915</v>
      </c>
      <c r="Q9" s="158">
        <f t="shared" si="1"/>
        <v>259.575</v>
      </c>
      <c r="R9" s="145"/>
      <c r="S9" s="145">
        <f>Q9</f>
        <v>259.575</v>
      </c>
      <c r="T9" s="145"/>
      <c r="U9" s="148"/>
      <c r="V9" s="148">
        <f>RANK(S9,$S$5:$S$52,0)</f>
        <v>7</v>
      </c>
      <c r="W9" s="148"/>
      <c r="X9" s="47">
        <f>V9</f>
        <v>7</v>
      </c>
      <c r="Y9" s="364"/>
      <c r="Z9" s="322"/>
    </row>
    <row r="10" spans="1:26" ht="14.25" customHeight="1" thickBot="1">
      <c r="A10" s="91">
        <v>25</v>
      </c>
      <c r="B10" s="91">
        <v>10</v>
      </c>
      <c r="E10" s="332"/>
      <c r="F10" s="29">
        <v>6</v>
      </c>
      <c r="G10" s="134" t="str">
        <f>IF('Jmený seznam'!D10,'Jmený seznam'!E10)</f>
        <v>Česenek Jan</v>
      </c>
      <c r="H10" s="135" t="s">
        <v>26</v>
      </c>
      <c r="I10" s="159">
        <v>0</v>
      </c>
      <c r="J10" s="160">
        <v>23.44</v>
      </c>
      <c r="K10" s="160">
        <v>21.21</v>
      </c>
      <c r="L10" s="160">
        <f>SUM(J10,K10)</f>
        <v>44.650000000000006</v>
      </c>
      <c r="M10" s="159">
        <v>52</v>
      </c>
      <c r="N10" s="159">
        <v>20</v>
      </c>
      <c r="O10" s="159">
        <v>38.38</v>
      </c>
      <c r="P10" s="161">
        <f t="shared" si="0"/>
        <v>57.57000000000001</v>
      </c>
      <c r="Q10" s="162">
        <f t="shared" si="1"/>
        <v>174.22000000000003</v>
      </c>
      <c r="R10" s="146"/>
      <c r="S10" s="146"/>
      <c r="T10" s="146">
        <f>Q10</f>
        <v>174.22000000000003</v>
      </c>
      <c r="U10" s="149"/>
      <c r="V10" s="149"/>
      <c r="W10" s="149">
        <f>RANK(T10,$T$5:$T$52,0)</f>
        <v>8</v>
      </c>
      <c r="X10" s="48">
        <f>W10</f>
        <v>8</v>
      </c>
      <c r="Y10" s="382"/>
      <c r="Z10" s="323"/>
    </row>
    <row r="11" spans="1:26" ht="15.75" customHeight="1">
      <c r="A11" s="91">
        <v>30</v>
      </c>
      <c r="B11" s="91">
        <v>12</v>
      </c>
      <c r="E11" s="333" t="str">
        <f>IF('Jmený seznam'!D11,'Jmený seznam'!C11)</f>
        <v>Moravskoslezský</v>
      </c>
      <c r="F11" s="137">
        <v>7</v>
      </c>
      <c r="G11" s="142" t="str">
        <f>IF('Jmený seznam'!D11,'Jmený seznam'!E11)</f>
        <v>Dresler Dominik</v>
      </c>
      <c r="H11" s="143" t="s">
        <v>20</v>
      </c>
      <c r="I11" s="163">
        <v>65</v>
      </c>
      <c r="J11" s="164">
        <v>38.9</v>
      </c>
      <c r="K11" s="164">
        <v>37.1</v>
      </c>
      <c r="L11" s="164">
        <f aca="true" t="shared" si="2" ref="L11:L52">SUM(J11,K11)</f>
        <v>76</v>
      </c>
      <c r="M11" s="163">
        <v>86</v>
      </c>
      <c r="N11" s="163">
        <v>70</v>
      </c>
      <c r="O11" s="163">
        <v>54.66</v>
      </c>
      <c r="P11" s="165">
        <f t="shared" si="0"/>
        <v>81.99</v>
      </c>
      <c r="Q11" s="166">
        <f t="shared" si="1"/>
        <v>378.99</v>
      </c>
      <c r="R11" s="144">
        <f>Q11</f>
        <v>378.99</v>
      </c>
      <c r="S11" s="144"/>
      <c r="T11" s="144"/>
      <c r="U11" s="150">
        <f aca="true" t="shared" si="3" ref="U11:U50">RANK(R11,$R$5:$R$52,0)</f>
        <v>9</v>
      </c>
      <c r="V11" s="147"/>
      <c r="W11" s="147"/>
      <c r="X11" s="46">
        <f>U11</f>
        <v>9</v>
      </c>
      <c r="Y11" s="362">
        <f>SUM(X11:X16)</f>
        <v>47</v>
      </c>
      <c r="Z11" s="321">
        <f>RANK(Y11,$Y$5:$Y$47,1)</f>
        <v>2</v>
      </c>
    </row>
    <row r="12" spans="1:26" ht="14.25" customHeight="1">
      <c r="A12" s="91">
        <v>35</v>
      </c>
      <c r="B12" s="91">
        <v>14</v>
      </c>
      <c r="E12" s="331"/>
      <c r="F12" s="50">
        <v>8</v>
      </c>
      <c r="G12" s="133" t="str">
        <f>IF('Jmený seznam'!D12,'Jmený seznam'!E12)</f>
        <v>Bernatík Tomáš</v>
      </c>
      <c r="H12" s="130" t="s">
        <v>20</v>
      </c>
      <c r="I12" s="155">
        <v>90</v>
      </c>
      <c r="J12" s="156">
        <v>40.75</v>
      </c>
      <c r="K12" s="156">
        <v>39.98</v>
      </c>
      <c r="L12" s="156">
        <f t="shared" si="2"/>
        <v>80.72999999999999</v>
      </c>
      <c r="M12" s="155">
        <v>88</v>
      </c>
      <c r="N12" s="155">
        <v>75</v>
      </c>
      <c r="O12" s="155">
        <v>53.61</v>
      </c>
      <c r="P12" s="157">
        <f t="shared" si="0"/>
        <v>80.41499999999999</v>
      </c>
      <c r="Q12" s="158">
        <f t="shared" si="1"/>
        <v>414.145</v>
      </c>
      <c r="R12" s="145">
        <f>Q12</f>
        <v>414.145</v>
      </c>
      <c r="S12" s="145"/>
      <c r="T12" s="145"/>
      <c r="U12" s="148">
        <f t="shared" si="3"/>
        <v>5</v>
      </c>
      <c r="V12" s="148"/>
      <c r="W12" s="148"/>
      <c r="X12" s="47">
        <f>U12</f>
        <v>5</v>
      </c>
      <c r="Y12" s="328"/>
      <c r="Z12" s="322"/>
    </row>
    <row r="13" spans="1:26" ht="14.25" customHeight="1">
      <c r="A13" s="91">
        <v>40</v>
      </c>
      <c r="B13" s="91">
        <v>16</v>
      </c>
      <c r="E13" s="331"/>
      <c r="F13" s="50">
        <v>9</v>
      </c>
      <c r="G13" s="133" t="str">
        <f>IF('Jmený seznam'!D13,'Jmený seznam'!E13)</f>
        <v>Wróblová Taťána</v>
      </c>
      <c r="H13" s="130" t="s">
        <v>20</v>
      </c>
      <c r="I13" s="155">
        <v>75</v>
      </c>
      <c r="J13" s="156">
        <v>35.16</v>
      </c>
      <c r="K13" s="156">
        <v>34.74</v>
      </c>
      <c r="L13" s="156">
        <f t="shared" si="2"/>
        <v>69.9</v>
      </c>
      <c r="M13" s="155">
        <v>72</v>
      </c>
      <c r="N13" s="155">
        <v>25</v>
      </c>
      <c r="O13" s="155">
        <v>52.52</v>
      </c>
      <c r="P13" s="157">
        <f t="shared" si="0"/>
        <v>78.78</v>
      </c>
      <c r="Q13" s="158">
        <f t="shared" si="1"/>
        <v>320.68</v>
      </c>
      <c r="R13" s="145">
        <f>Q13</f>
        <v>320.68</v>
      </c>
      <c r="S13" s="145"/>
      <c r="T13" s="145"/>
      <c r="U13" s="148">
        <f t="shared" si="3"/>
        <v>12</v>
      </c>
      <c r="V13" s="148"/>
      <c r="W13" s="148"/>
      <c r="X13" s="47">
        <f>U13</f>
        <v>12</v>
      </c>
      <c r="Y13" s="328"/>
      <c r="Z13" s="322"/>
    </row>
    <row r="14" spans="1:26" ht="14.25" customHeight="1">
      <c r="A14" s="91">
        <v>45</v>
      </c>
      <c r="B14" s="91">
        <v>18</v>
      </c>
      <c r="E14" s="331"/>
      <c r="F14" s="50">
        <v>10</v>
      </c>
      <c r="G14" s="133" t="str">
        <f>IF('Jmený seznam'!D14,'Jmený seznam'!E14)</f>
        <v>Zemánková Johanka</v>
      </c>
      <c r="H14" s="130" t="s">
        <v>20</v>
      </c>
      <c r="I14" s="155">
        <v>50</v>
      </c>
      <c r="J14" s="156">
        <v>36.78</v>
      </c>
      <c r="K14" s="156">
        <v>36.29</v>
      </c>
      <c r="L14" s="156">
        <f t="shared" si="2"/>
        <v>73.07</v>
      </c>
      <c r="M14" s="155">
        <v>68</v>
      </c>
      <c r="N14" s="155">
        <v>45</v>
      </c>
      <c r="O14" s="155">
        <v>36.43</v>
      </c>
      <c r="P14" s="157">
        <f t="shared" si="0"/>
        <v>54.644999999999996</v>
      </c>
      <c r="Q14" s="158">
        <f t="shared" si="1"/>
        <v>290.715</v>
      </c>
      <c r="R14" s="145">
        <f>Q14</f>
        <v>290.715</v>
      </c>
      <c r="S14" s="145"/>
      <c r="T14" s="145"/>
      <c r="U14" s="148">
        <f t="shared" si="3"/>
        <v>16</v>
      </c>
      <c r="V14" s="148"/>
      <c r="W14" s="148"/>
      <c r="X14" s="47">
        <f>U14</f>
        <v>16</v>
      </c>
      <c r="Y14" s="328"/>
      <c r="Z14" s="322"/>
    </row>
    <row r="15" spans="1:26" ht="14.25" customHeight="1">
      <c r="A15" s="91">
        <v>50</v>
      </c>
      <c r="B15" s="91">
        <v>20</v>
      </c>
      <c r="E15" s="331"/>
      <c r="F15" s="50">
        <v>11</v>
      </c>
      <c r="G15" s="133" t="str">
        <f>IF('Jmený seznam'!D15,'Jmený seznam'!E15)</f>
        <v>Kepáková Natálie</v>
      </c>
      <c r="H15" s="130" t="s">
        <v>24</v>
      </c>
      <c r="I15" s="155">
        <v>65</v>
      </c>
      <c r="J15" s="156">
        <v>35</v>
      </c>
      <c r="K15" s="156">
        <v>36.25</v>
      </c>
      <c r="L15" s="156">
        <f t="shared" si="2"/>
        <v>71.25</v>
      </c>
      <c r="M15" s="155">
        <v>98</v>
      </c>
      <c r="N15" s="155">
        <v>60</v>
      </c>
      <c r="O15" s="155">
        <v>48.19</v>
      </c>
      <c r="P15" s="157">
        <f t="shared" si="0"/>
        <v>72.285</v>
      </c>
      <c r="Q15" s="158">
        <f t="shared" si="1"/>
        <v>366.53499999999997</v>
      </c>
      <c r="R15" s="145"/>
      <c r="S15" s="145">
        <f>Q15</f>
        <v>366.53499999999997</v>
      </c>
      <c r="T15" s="145"/>
      <c r="U15" s="148"/>
      <c r="V15" s="148">
        <f>RANK(S15,$S$5:$S$52,0)</f>
        <v>2</v>
      </c>
      <c r="W15" s="148"/>
      <c r="X15" s="47">
        <f>V15</f>
        <v>2</v>
      </c>
      <c r="Y15" s="328"/>
      <c r="Z15" s="322"/>
    </row>
    <row r="16" spans="1:26" ht="14.25" customHeight="1" thickBot="1">
      <c r="A16" s="91">
        <v>55</v>
      </c>
      <c r="B16" s="91">
        <v>22</v>
      </c>
      <c r="E16" s="332"/>
      <c r="F16" s="138">
        <v>12</v>
      </c>
      <c r="G16" s="139" t="str">
        <f>IF('Jmený seznam'!D16,'Jmený seznam'!E16)</f>
        <v>Tichý Štefan</v>
      </c>
      <c r="H16" s="140" t="s">
        <v>26</v>
      </c>
      <c r="I16" s="167">
        <v>75</v>
      </c>
      <c r="J16" s="168">
        <v>40.6</v>
      </c>
      <c r="K16" s="168">
        <v>39.25</v>
      </c>
      <c r="L16" s="168">
        <f t="shared" si="2"/>
        <v>79.85</v>
      </c>
      <c r="M16" s="167">
        <v>88</v>
      </c>
      <c r="N16" s="167">
        <v>85</v>
      </c>
      <c r="O16" s="167">
        <v>62.322</v>
      </c>
      <c r="P16" s="169">
        <f t="shared" si="0"/>
        <v>93.483</v>
      </c>
      <c r="Q16" s="170">
        <f t="shared" si="1"/>
        <v>421.333</v>
      </c>
      <c r="R16" s="146"/>
      <c r="S16" s="146"/>
      <c r="T16" s="146">
        <f>Q16</f>
        <v>421.333</v>
      </c>
      <c r="U16" s="149"/>
      <c r="V16" s="149"/>
      <c r="W16" s="149">
        <f>RANK(T16,$T$5:$T$52,0)</f>
        <v>3</v>
      </c>
      <c r="X16" s="48">
        <f>W16</f>
        <v>3</v>
      </c>
      <c r="Y16" s="345"/>
      <c r="Z16" s="323"/>
    </row>
    <row r="17" spans="1:26" ht="15.75" customHeight="1">
      <c r="A17" s="91">
        <v>60</v>
      </c>
      <c r="B17" s="91">
        <v>24</v>
      </c>
      <c r="E17" s="333" t="str">
        <f>IF('Jmený seznam'!D17,'Jmený seznam'!C17)</f>
        <v>Západočeský</v>
      </c>
      <c r="F17" s="67">
        <v>13</v>
      </c>
      <c r="G17" s="132" t="str">
        <f>IF('Jmený seznam'!D17,'Jmený seznam'!E17)</f>
        <v>Schleiss Jakub</v>
      </c>
      <c r="H17" s="117" t="s">
        <v>20</v>
      </c>
      <c r="I17" s="151">
        <v>75</v>
      </c>
      <c r="J17" s="152">
        <v>37.88</v>
      </c>
      <c r="K17" s="152">
        <v>35.04</v>
      </c>
      <c r="L17" s="152">
        <f t="shared" si="2"/>
        <v>72.92</v>
      </c>
      <c r="M17" s="151">
        <v>88</v>
      </c>
      <c r="N17" s="151">
        <v>85</v>
      </c>
      <c r="O17" s="151">
        <v>57.51</v>
      </c>
      <c r="P17" s="153">
        <f t="shared" si="0"/>
        <v>86.265</v>
      </c>
      <c r="Q17" s="154">
        <f t="shared" si="1"/>
        <v>407.185</v>
      </c>
      <c r="R17" s="144">
        <f>Q17</f>
        <v>407.185</v>
      </c>
      <c r="S17" s="144"/>
      <c r="T17" s="144"/>
      <c r="U17" s="150">
        <f>RANK(R17,$R$5:$R$52,0)</f>
        <v>7</v>
      </c>
      <c r="V17" s="147"/>
      <c r="W17" s="147"/>
      <c r="X17" s="46">
        <f>U17</f>
        <v>7</v>
      </c>
      <c r="Y17" s="362">
        <f>SUM(X17:X22)</f>
        <v>51</v>
      </c>
      <c r="Z17" s="321">
        <f>RANK(Y17,$Y$5:$Y$47,1)</f>
        <v>3</v>
      </c>
    </row>
    <row r="18" spans="1:26" ht="14.25" customHeight="1">
      <c r="A18" s="91">
        <v>65</v>
      </c>
      <c r="B18" s="91">
        <v>26</v>
      </c>
      <c r="E18" s="331"/>
      <c r="F18" s="28">
        <v>14</v>
      </c>
      <c r="G18" s="133" t="str">
        <f>IF('Jmený seznam'!D18,'Jmený seznam'!E18)</f>
        <v>Schleiss Stanislav</v>
      </c>
      <c r="H18" s="130" t="s">
        <v>20</v>
      </c>
      <c r="I18" s="155">
        <v>95</v>
      </c>
      <c r="J18" s="156">
        <v>37.49</v>
      </c>
      <c r="K18" s="156">
        <v>42.42</v>
      </c>
      <c r="L18" s="156">
        <f t="shared" si="2"/>
        <v>79.91</v>
      </c>
      <c r="M18" s="155">
        <v>84</v>
      </c>
      <c r="N18" s="155">
        <v>60</v>
      </c>
      <c r="O18" s="155">
        <v>59.748</v>
      </c>
      <c r="P18" s="157">
        <f t="shared" si="0"/>
        <v>89.622</v>
      </c>
      <c r="Q18" s="158">
        <f t="shared" si="1"/>
        <v>408.532</v>
      </c>
      <c r="R18" s="145">
        <f>Q18</f>
        <v>408.532</v>
      </c>
      <c r="S18" s="145"/>
      <c r="T18" s="145"/>
      <c r="U18" s="148">
        <f t="shared" si="3"/>
        <v>6</v>
      </c>
      <c r="V18" s="148"/>
      <c r="W18" s="148"/>
      <c r="X18" s="47">
        <f>U18</f>
        <v>6</v>
      </c>
      <c r="Y18" s="328"/>
      <c r="Z18" s="322"/>
    </row>
    <row r="19" spans="1:26" ht="14.25" customHeight="1">
      <c r="A19" s="91">
        <v>70</v>
      </c>
      <c r="B19" s="91">
        <v>28</v>
      </c>
      <c r="E19" s="331"/>
      <c r="F19" s="28">
        <v>15</v>
      </c>
      <c r="G19" s="133" t="str">
        <f>IF('Jmený seznam'!D19,'Jmený seznam'!E19)</f>
        <v>Vejvančický Matěj</v>
      </c>
      <c r="H19" s="130" t="s">
        <v>20</v>
      </c>
      <c r="I19" s="155">
        <v>55</v>
      </c>
      <c r="J19" s="156">
        <v>32.58</v>
      </c>
      <c r="K19" s="156">
        <v>30.61</v>
      </c>
      <c r="L19" s="156">
        <f t="shared" si="2"/>
        <v>63.19</v>
      </c>
      <c r="M19" s="155">
        <v>44</v>
      </c>
      <c r="N19" s="155">
        <v>10</v>
      </c>
      <c r="O19" s="155">
        <v>47.26</v>
      </c>
      <c r="P19" s="157">
        <f t="shared" si="0"/>
        <v>70.89</v>
      </c>
      <c r="Q19" s="158">
        <f t="shared" si="1"/>
        <v>243.07999999999998</v>
      </c>
      <c r="R19" s="145">
        <f>Q19</f>
        <v>243.07999999999998</v>
      </c>
      <c r="S19" s="145"/>
      <c r="T19" s="145"/>
      <c r="U19" s="148">
        <f t="shared" si="3"/>
        <v>21</v>
      </c>
      <c r="V19" s="148"/>
      <c r="W19" s="148"/>
      <c r="X19" s="47">
        <f>U19</f>
        <v>21</v>
      </c>
      <c r="Y19" s="328"/>
      <c r="Z19" s="322"/>
    </row>
    <row r="20" spans="1:26" ht="14.25" customHeight="1">
      <c r="A20" s="91">
        <v>75</v>
      </c>
      <c r="B20" s="91">
        <v>30</v>
      </c>
      <c r="E20" s="331"/>
      <c r="F20" s="28">
        <v>16</v>
      </c>
      <c r="G20" s="133" t="str">
        <f>IF('Jmený seznam'!D20,'Jmený seznam'!E20)</f>
        <v>Havránek David</v>
      </c>
      <c r="H20" s="130" t="s">
        <v>20</v>
      </c>
      <c r="I20" s="155">
        <v>50</v>
      </c>
      <c r="J20" s="156">
        <v>34.21</v>
      </c>
      <c r="K20" s="156">
        <v>32.92</v>
      </c>
      <c r="L20" s="156">
        <f t="shared" si="2"/>
        <v>67.13</v>
      </c>
      <c r="M20" s="155">
        <v>76</v>
      </c>
      <c r="N20" s="155">
        <v>80</v>
      </c>
      <c r="O20" s="155">
        <v>46.97</v>
      </c>
      <c r="P20" s="157">
        <f t="shared" si="0"/>
        <v>70.455</v>
      </c>
      <c r="Q20" s="158">
        <f t="shared" si="1"/>
        <v>343.585</v>
      </c>
      <c r="R20" s="145">
        <f>Q20</f>
        <v>343.585</v>
      </c>
      <c r="S20" s="145"/>
      <c r="T20" s="145"/>
      <c r="U20" s="148">
        <f t="shared" si="3"/>
        <v>10</v>
      </c>
      <c r="V20" s="148"/>
      <c r="W20" s="148"/>
      <c r="X20" s="47">
        <f>U20</f>
        <v>10</v>
      </c>
      <c r="Y20" s="328"/>
      <c r="Z20" s="322"/>
    </row>
    <row r="21" spans="1:26" ht="14.25" customHeight="1">
      <c r="A21" s="91">
        <v>80</v>
      </c>
      <c r="B21" s="91">
        <v>32</v>
      </c>
      <c r="E21" s="331"/>
      <c r="F21" s="28">
        <v>17</v>
      </c>
      <c r="G21" s="133" t="str">
        <f>IF('Jmený seznam'!D21,'Jmený seznam'!E21)</f>
        <v>Hynčíková Nina</v>
      </c>
      <c r="H21" s="130" t="s">
        <v>24</v>
      </c>
      <c r="I21" s="155">
        <v>70</v>
      </c>
      <c r="J21" s="156">
        <v>34.82</v>
      </c>
      <c r="K21" s="156">
        <v>33.88</v>
      </c>
      <c r="L21" s="156">
        <f t="shared" si="2"/>
        <v>68.7</v>
      </c>
      <c r="M21" s="155">
        <v>70</v>
      </c>
      <c r="N21" s="155">
        <v>50</v>
      </c>
      <c r="O21" s="155">
        <v>59.251</v>
      </c>
      <c r="P21" s="157">
        <f t="shared" si="0"/>
        <v>88.8765</v>
      </c>
      <c r="Q21" s="158">
        <f t="shared" si="1"/>
        <v>347.5765</v>
      </c>
      <c r="R21" s="145"/>
      <c r="S21" s="145">
        <f>Q21</f>
        <v>347.5765</v>
      </c>
      <c r="T21" s="145"/>
      <c r="U21" s="148"/>
      <c r="V21" s="148">
        <f>RANK(S21,$S$5:$S$52,0)</f>
        <v>3</v>
      </c>
      <c r="W21" s="148"/>
      <c r="X21" s="47">
        <f>V21</f>
        <v>3</v>
      </c>
      <c r="Y21" s="328"/>
      <c r="Z21" s="322"/>
    </row>
    <row r="22" spans="1:26" ht="14.25" customHeight="1" thickBot="1">
      <c r="A22" s="91">
        <v>85</v>
      </c>
      <c r="B22" s="91">
        <v>34</v>
      </c>
      <c r="E22" s="332"/>
      <c r="F22" s="29">
        <v>18</v>
      </c>
      <c r="G22" s="139" t="str">
        <f>IF('Jmený seznam'!D22,'Jmený seznam'!E22)</f>
        <v>Holub Ondřej</v>
      </c>
      <c r="H22" s="140" t="s">
        <v>26</v>
      </c>
      <c r="I22" s="167">
        <v>85</v>
      </c>
      <c r="J22" s="168">
        <v>41.86</v>
      </c>
      <c r="K22" s="168">
        <v>38.6</v>
      </c>
      <c r="L22" s="168">
        <f t="shared" si="2"/>
        <v>80.46000000000001</v>
      </c>
      <c r="M22" s="167">
        <v>76</v>
      </c>
      <c r="N22" s="167">
        <v>60</v>
      </c>
      <c r="O22" s="167">
        <v>58.85</v>
      </c>
      <c r="P22" s="169">
        <f t="shared" si="0"/>
        <v>88.275</v>
      </c>
      <c r="Q22" s="170">
        <f t="shared" si="1"/>
        <v>389.735</v>
      </c>
      <c r="R22" s="146"/>
      <c r="S22" s="146"/>
      <c r="T22" s="146">
        <f>Q22</f>
        <v>389.735</v>
      </c>
      <c r="U22" s="149"/>
      <c r="V22" s="149"/>
      <c r="W22" s="149">
        <f>RANK(T22,$T$5:$T$52,0)</f>
        <v>4</v>
      </c>
      <c r="X22" s="48">
        <f>W22</f>
        <v>4</v>
      </c>
      <c r="Y22" s="345"/>
      <c r="Z22" s="323"/>
    </row>
    <row r="23" spans="1:26" ht="15.75" customHeight="1">
      <c r="A23" s="91">
        <v>90</v>
      </c>
      <c r="B23" s="91">
        <v>36</v>
      </c>
      <c r="E23" s="333" t="str">
        <f>IF('Jmený seznam'!D23,'Jmený seznam'!C23)</f>
        <v>MRS Brno</v>
      </c>
      <c r="F23" s="67">
        <v>19</v>
      </c>
      <c r="G23" s="132" t="str">
        <f>IF('Jmený seznam'!D23,'Jmený seznam'!E23)</f>
        <v>Honzírek Ondřej</v>
      </c>
      <c r="H23" s="117" t="s">
        <v>20</v>
      </c>
      <c r="I23" s="151">
        <v>95</v>
      </c>
      <c r="J23" s="152">
        <v>42.64</v>
      </c>
      <c r="K23" s="152">
        <v>41.91</v>
      </c>
      <c r="L23" s="152">
        <f t="shared" si="2"/>
        <v>84.55</v>
      </c>
      <c r="M23" s="151">
        <v>84</v>
      </c>
      <c r="N23" s="151">
        <v>75</v>
      </c>
      <c r="O23" s="151">
        <v>66.093</v>
      </c>
      <c r="P23" s="153">
        <f t="shared" si="0"/>
        <v>99.1395</v>
      </c>
      <c r="Q23" s="154">
        <f t="shared" si="1"/>
        <v>437.6895</v>
      </c>
      <c r="R23" s="144">
        <f>Q23</f>
        <v>437.6895</v>
      </c>
      <c r="S23" s="144"/>
      <c r="T23" s="144"/>
      <c r="U23" s="150">
        <f>RANK(R23,$R$5:$R$52,0)</f>
        <v>2</v>
      </c>
      <c r="V23" s="147"/>
      <c r="W23" s="147"/>
      <c r="X23" s="46">
        <f>U23</f>
        <v>2</v>
      </c>
      <c r="Y23" s="362">
        <f>SUM(X23:X28)</f>
        <v>25</v>
      </c>
      <c r="Z23" s="321">
        <f>RANK(Y23,$Y$5:$Y$47,1)</f>
        <v>1</v>
      </c>
    </row>
    <row r="24" spans="1:26" ht="14.25" customHeight="1">
      <c r="A24" s="91">
        <v>95</v>
      </c>
      <c r="B24" s="91">
        <v>38</v>
      </c>
      <c r="E24" s="331"/>
      <c r="F24" s="28">
        <v>20</v>
      </c>
      <c r="G24" s="133" t="str">
        <f>IF('Jmený seznam'!D24,'Jmený seznam'!E24)</f>
        <v>Bombera Jan</v>
      </c>
      <c r="H24" s="130" t="s">
        <v>20</v>
      </c>
      <c r="I24" s="155">
        <v>90</v>
      </c>
      <c r="J24" s="156">
        <v>42.08</v>
      </c>
      <c r="K24" s="156">
        <v>41.03</v>
      </c>
      <c r="L24" s="156">
        <f t="shared" si="2"/>
        <v>83.11</v>
      </c>
      <c r="M24" s="155">
        <v>80</v>
      </c>
      <c r="N24" s="155">
        <v>80</v>
      </c>
      <c r="O24" s="155">
        <v>66.5</v>
      </c>
      <c r="P24" s="157">
        <f t="shared" si="0"/>
        <v>99.75</v>
      </c>
      <c r="Q24" s="158">
        <f t="shared" si="1"/>
        <v>432.86</v>
      </c>
      <c r="R24" s="145">
        <f>Q24</f>
        <v>432.86</v>
      </c>
      <c r="S24" s="145"/>
      <c r="T24" s="145"/>
      <c r="U24" s="148">
        <f t="shared" si="3"/>
        <v>3</v>
      </c>
      <c r="V24" s="148"/>
      <c r="W24" s="148"/>
      <c r="X24" s="47">
        <f>U24</f>
        <v>3</v>
      </c>
      <c r="Y24" s="328"/>
      <c r="Z24" s="322"/>
    </row>
    <row r="25" spans="1:26" ht="14.25" customHeight="1">
      <c r="A25" s="91">
        <v>100</v>
      </c>
      <c r="B25" s="91">
        <v>40</v>
      </c>
      <c r="E25" s="331"/>
      <c r="F25" s="28">
        <v>21</v>
      </c>
      <c r="G25" s="133" t="str">
        <f>IF('Jmený seznam'!D25,'Jmený seznam'!E25)</f>
        <v>Traj Robert</v>
      </c>
      <c r="H25" s="130" t="s">
        <v>20</v>
      </c>
      <c r="I25" s="155">
        <v>85</v>
      </c>
      <c r="J25" s="156">
        <v>41.1</v>
      </c>
      <c r="K25" s="156">
        <v>40.6</v>
      </c>
      <c r="L25" s="156">
        <f t="shared" si="2"/>
        <v>81.7</v>
      </c>
      <c r="M25" s="155">
        <v>92</v>
      </c>
      <c r="N25" s="155">
        <v>90</v>
      </c>
      <c r="O25" s="155">
        <v>59.42</v>
      </c>
      <c r="P25" s="157">
        <f t="shared" si="0"/>
        <v>89.13</v>
      </c>
      <c r="Q25" s="158">
        <f t="shared" si="1"/>
        <v>437.83</v>
      </c>
      <c r="R25" s="145">
        <f>Q25</f>
        <v>437.83</v>
      </c>
      <c r="S25" s="145"/>
      <c r="T25" s="145"/>
      <c r="U25" s="148">
        <f t="shared" si="3"/>
        <v>1</v>
      </c>
      <c r="V25" s="148"/>
      <c r="W25" s="148"/>
      <c r="X25" s="47">
        <f>U25</f>
        <v>1</v>
      </c>
      <c r="Y25" s="328"/>
      <c r="Z25" s="322"/>
    </row>
    <row r="26" spans="1:26" ht="14.25" customHeight="1">
      <c r="A26" s="91"/>
      <c r="B26" s="91">
        <v>42</v>
      </c>
      <c r="E26" s="331"/>
      <c r="F26" s="28">
        <v>22</v>
      </c>
      <c r="G26" s="133" t="str">
        <f>IF('Jmený seznam'!D26,'Jmený seznam'!E26)</f>
        <v>Juříček Jakub</v>
      </c>
      <c r="H26" s="130" t="s">
        <v>20</v>
      </c>
      <c r="I26" s="155">
        <v>25</v>
      </c>
      <c r="J26" s="156">
        <v>24.42</v>
      </c>
      <c r="K26" s="156">
        <v>24.21</v>
      </c>
      <c r="L26" s="156">
        <f t="shared" si="2"/>
        <v>48.63</v>
      </c>
      <c r="M26" s="155">
        <v>74</v>
      </c>
      <c r="N26" s="155">
        <v>70</v>
      </c>
      <c r="O26" s="155">
        <v>48.227</v>
      </c>
      <c r="P26" s="157">
        <f t="shared" si="0"/>
        <v>72.34049999999999</v>
      </c>
      <c r="Q26" s="158">
        <f t="shared" si="1"/>
        <v>289.9705</v>
      </c>
      <c r="R26" s="145">
        <f>Q26</f>
        <v>289.9705</v>
      </c>
      <c r="S26" s="145"/>
      <c r="T26" s="145"/>
      <c r="U26" s="148">
        <f t="shared" si="3"/>
        <v>17</v>
      </c>
      <c r="V26" s="148"/>
      <c r="W26" s="148"/>
      <c r="X26" s="47">
        <f>U26</f>
        <v>17</v>
      </c>
      <c r="Y26" s="328"/>
      <c r="Z26" s="322"/>
    </row>
    <row r="27" spans="1:26" ht="14.25" customHeight="1">
      <c r="A27" s="91"/>
      <c r="B27" s="91">
        <v>44</v>
      </c>
      <c r="E27" s="331"/>
      <c r="F27" s="28">
        <v>23</v>
      </c>
      <c r="G27" s="133" t="str">
        <f>IF('Jmený seznam'!D27,'Jmený seznam'!E27)</f>
        <v>Koblihová Kristýna</v>
      </c>
      <c r="H27" s="130" t="s">
        <v>24</v>
      </c>
      <c r="I27" s="155">
        <v>70</v>
      </c>
      <c r="J27" s="156">
        <v>38.92</v>
      </c>
      <c r="K27" s="156">
        <v>34.72</v>
      </c>
      <c r="L27" s="156">
        <f t="shared" si="2"/>
        <v>73.64</v>
      </c>
      <c r="M27" s="155">
        <v>94</v>
      </c>
      <c r="N27" s="155">
        <v>75</v>
      </c>
      <c r="O27" s="155">
        <v>51.54</v>
      </c>
      <c r="P27" s="157">
        <f t="shared" si="0"/>
        <v>77.31</v>
      </c>
      <c r="Q27" s="158">
        <f t="shared" si="1"/>
        <v>389.95</v>
      </c>
      <c r="R27" s="145"/>
      <c r="S27" s="145">
        <f>Q27</f>
        <v>389.95</v>
      </c>
      <c r="T27" s="145"/>
      <c r="U27" s="148"/>
      <c r="V27" s="148">
        <f>RANK(S27,$S$5:$S$52,0)</f>
        <v>1</v>
      </c>
      <c r="W27" s="148"/>
      <c r="X27" s="47">
        <f>V27</f>
        <v>1</v>
      </c>
      <c r="Y27" s="328"/>
      <c r="Z27" s="322"/>
    </row>
    <row r="28" spans="1:26" ht="14.25" customHeight="1" thickBot="1">
      <c r="A28" s="91"/>
      <c r="B28" s="91">
        <v>46</v>
      </c>
      <c r="E28" s="332"/>
      <c r="F28" s="29">
        <v>24</v>
      </c>
      <c r="G28" s="139" t="str">
        <f>IF('Jmený seznam'!D28,'Jmený seznam'!E28)</f>
        <v>Zavadil Radek</v>
      </c>
      <c r="H28" s="140" t="s">
        <v>26</v>
      </c>
      <c r="I28" s="167">
        <v>95</v>
      </c>
      <c r="J28" s="168">
        <v>41</v>
      </c>
      <c r="K28" s="168">
        <v>46.15</v>
      </c>
      <c r="L28" s="168">
        <f t="shared" si="2"/>
        <v>87.15</v>
      </c>
      <c r="M28" s="167">
        <v>92</v>
      </c>
      <c r="N28" s="167">
        <v>75</v>
      </c>
      <c r="O28" s="167">
        <v>60.47</v>
      </c>
      <c r="P28" s="169">
        <f t="shared" si="0"/>
        <v>90.705</v>
      </c>
      <c r="Q28" s="170">
        <f t="shared" si="1"/>
        <v>439.85499999999996</v>
      </c>
      <c r="R28" s="146"/>
      <c r="S28" s="146"/>
      <c r="T28" s="146">
        <f>Q28</f>
        <v>439.85499999999996</v>
      </c>
      <c r="U28" s="149"/>
      <c r="V28" s="149"/>
      <c r="W28" s="149">
        <f>RANK(T28,$T$5:$T$52,0)</f>
        <v>1</v>
      </c>
      <c r="X28" s="48">
        <f>W28</f>
        <v>1</v>
      </c>
      <c r="Y28" s="345"/>
      <c r="Z28" s="323"/>
    </row>
    <row r="29" spans="1:27" ht="14.25" customHeight="1">
      <c r="A29" s="91"/>
      <c r="B29" s="91">
        <v>48</v>
      </c>
      <c r="E29" s="333" t="str">
        <f>IF('Jmený seznam'!D29,'Jmený seznam'!C29)</f>
        <v>Východočeský</v>
      </c>
      <c r="F29" s="67">
        <v>25</v>
      </c>
      <c r="G29" s="132" t="str">
        <f>IF('Jmený seznam'!D29,'Jmený seznam'!E29)</f>
        <v>Hašek Marek</v>
      </c>
      <c r="H29" s="117" t="s">
        <v>20</v>
      </c>
      <c r="I29" s="151">
        <v>25</v>
      </c>
      <c r="J29" s="152">
        <v>37.24</v>
      </c>
      <c r="K29" s="152">
        <v>39.29</v>
      </c>
      <c r="L29" s="152">
        <f t="shared" si="2"/>
        <v>76.53</v>
      </c>
      <c r="M29" s="151">
        <v>74</v>
      </c>
      <c r="N29" s="151">
        <v>50</v>
      </c>
      <c r="O29" s="151">
        <v>54.28</v>
      </c>
      <c r="P29" s="153">
        <f aca="true" t="shared" si="4" ref="P29:P40">O29*1.5</f>
        <v>81.42</v>
      </c>
      <c r="Q29" s="154">
        <f aca="true" t="shared" si="5" ref="Q29:Q40">SUM(I29,L29,M29,N29,P29)</f>
        <v>306.95</v>
      </c>
      <c r="R29" s="144">
        <f>Q29</f>
        <v>306.95</v>
      </c>
      <c r="S29" s="144"/>
      <c r="T29" s="144"/>
      <c r="U29" s="150">
        <f>RANK(R29,$R$5:$R$52,0)</f>
        <v>13</v>
      </c>
      <c r="V29" s="147"/>
      <c r="W29" s="147"/>
      <c r="X29" s="46">
        <f>U29</f>
        <v>13</v>
      </c>
      <c r="Y29" s="362">
        <f>SUM(X29:X34)</f>
        <v>93</v>
      </c>
      <c r="Z29" s="321">
        <f>RANK(Y29,$Y$5:$Y$47,1)</f>
        <v>6</v>
      </c>
      <c r="AA29" s="1"/>
    </row>
    <row r="30" spans="1:27" ht="14.25" customHeight="1">
      <c r="A30" s="91"/>
      <c r="B30" s="91">
        <v>50</v>
      </c>
      <c r="E30" s="331"/>
      <c r="F30" s="28">
        <v>26</v>
      </c>
      <c r="G30" s="133" t="str">
        <f>IF('Jmený seznam'!D30,'Jmený seznam'!E30)</f>
        <v>Joneš Jan</v>
      </c>
      <c r="H30" s="130" t="s">
        <v>20</v>
      </c>
      <c r="I30" s="155">
        <v>20</v>
      </c>
      <c r="J30" s="156">
        <v>24.05</v>
      </c>
      <c r="K30" s="156">
        <v>22.18</v>
      </c>
      <c r="L30" s="156">
        <f t="shared" si="2"/>
        <v>46.230000000000004</v>
      </c>
      <c r="M30" s="155">
        <v>62</v>
      </c>
      <c r="N30" s="155">
        <v>40</v>
      </c>
      <c r="O30" s="155">
        <v>47.47</v>
      </c>
      <c r="P30" s="157">
        <f t="shared" si="4"/>
        <v>71.205</v>
      </c>
      <c r="Q30" s="158">
        <f t="shared" si="5"/>
        <v>239.435</v>
      </c>
      <c r="R30" s="145">
        <f>Q30</f>
        <v>239.435</v>
      </c>
      <c r="S30" s="145"/>
      <c r="T30" s="145"/>
      <c r="U30" s="148">
        <f t="shared" si="3"/>
        <v>22</v>
      </c>
      <c r="V30" s="148"/>
      <c r="W30" s="148"/>
      <c r="X30" s="47">
        <f>U30</f>
        <v>22</v>
      </c>
      <c r="Y30" s="328"/>
      <c r="Z30" s="322"/>
      <c r="AA30" s="1"/>
    </row>
    <row r="31" spans="1:26" ht="14.25" customHeight="1">
      <c r="A31" s="91"/>
      <c r="B31" s="91">
        <v>52</v>
      </c>
      <c r="E31" s="331"/>
      <c r="F31" s="28">
        <v>27</v>
      </c>
      <c r="G31" s="133" t="str">
        <f>IF('Jmený seznam'!D31,'Jmený seznam'!E31)</f>
        <v>Mencl Michal</v>
      </c>
      <c r="H31" s="130" t="s">
        <v>20</v>
      </c>
      <c r="I31" s="155">
        <v>20</v>
      </c>
      <c r="J31" s="156">
        <v>23.65</v>
      </c>
      <c r="K31" s="156">
        <v>19.83</v>
      </c>
      <c r="L31" s="156">
        <f t="shared" si="2"/>
        <v>43.48</v>
      </c>
      <c r="M31" s="155">
        <v>50</v>
      </c>
      <c r="N31" s="155">
        <v>10</v>
      </c>
      <c r="O31" s="155">
        <v>34.873</v>
      </c>
      <c r="P31" s="157">
        <f t="shared" si="4"/>
        <v>52.3095</v>
      </c>
      <c r="Q31" s="158">
        <f t="shared" si="5"/>
        <v>175.78949999999998</v>
      </c>
      <c r="R31" s="145">
        <f>Q31</f>
        <v>175.78949999999998</v>
      </c>
      <c r="S31" s="145"/>
      <c r="T31" s="145"/>
      <c r="U31" s="148">
        <f t="shared" si="3"/>
        <v>25</v>
      </c>
      <c r="V31" s="148"/>
      <c r="W31" s="148"/>
      <c r="X31" s="47">
        <f>U31</f>
        <v>25</v>
      </c>
      <c r="Y31" s="328"/>
      <c r="Z31" s="322"/>
    </row>
    <row r="32" spans="1:26" ht="14.25" customHeight="1">
      <c r="A32" s="91"/>
      <c r="B32" s="91">
        <v>54</v>
      </c>
      <c r="E32" s="331"/>
      <c r="F32" s="28">
        <v>28</v>
      </c>
      <c r="G32" s="133" t="str">
        <f>IF('Jmený seznam'!D32,'Jmený seznam'!E32)</f>
        <v>Bastl Tomáš</v>
      </c>
      <c r="H32" s="130" t="s">
        <v>20</v>
      </c>
      <c r="I32" s="155">
        <v>25</v>
      </c>
      <c r="J32" s="156">
        <v>24.47</v>
      </c>
      <c r="K32" s="156">
        <v>25.49</v>
      </c>
      <c r="L32" s="156">
        <f t="shared" si="2"/>
        <v>49.959999999999994</v>
      </c>
      <c r="M32" s="155">
        <v>68</v>
      </c>
      <c r="N32" s="155">
        <v>40</v>
      </c>
      <c r="O32" s="155">
        <v>49.02</v>
      </c>
      <c r="P32" s="157">
        <f t="shared" si="4"/>
        <v>73.53</v>
      </c>
      <c r="Q32" s="158">
        <f t="shared" si="5"/>
        <v>256.49</v>
      </c>
      <c r="R32" s="145">
        <f>Q32</f>
        <v>256.49</v>
      </c>
      <c r="S32" s="145"/>
      <c r="T32" s="145"/>
      <c r="U32" s="148">
        <f t="shared" si="3"/>
        <v>20</v>
      </c>
      <c r="V32" s="148"/>
      <c r="W32" s="148"/>
      <c r="X32" s="47">
        <f>U32</f>
        <v>20</v>
      </c>
      <c r="Y32" s="328"/>
      <c r="Z32" s="322"/>
    </row>
    <row r="33" spans="1:26" ht="14.25" customHeight="1">
      <c r="A33" s="91"/>
      <c r="B33" s="91">
        <v>56</v>
      </c>
      <c r="E33" s="331"/>
      <c r="F33" s="28">
        <v>29</v>
      </c>
      <c r="G33" s="133" t="str">
        <f>IF('Jmený seznam'!D33,'Jmený seznam'!E33)</f>
        <v>Šimůnková Markéta</v>
      </c>
      <c r="H33" s="130" t="s">
        <v>24</v>
      </c>
      <c r="I33" s="155">
        <v>40</v>
      </c>
      <c r="J33" s="156">
        <v>27.11</v>
      </c>
      <c r="K33" s="156">
        <v>28.5</v>
      </c>
      <c r="L33" s="156">
        <f t="shared" si="2"/>
        <v>55.61</v>
      </c>
      <c r="M33" s="155">
        <v>74</v>
      </c>
      <c r="N33" s="155">
        <v>40</v>
      </c>
      <c r="O33" s="155">
        <v>42.41</v>
      </c>
      <c r="P33" s="157">
        <f t="shared" si="4"/>
        <v>63.614999999999995</v>
      </c>
      <c r="Q33" s="158">
        <f t="shared" si="5"/>
        <v>273.225</v>
      </c>
      <c r="R33" s="145"/>
      <c r="S33" s="145">
        <f>Q33</f>
        <v>273.225</v>
      </c>
      <c r="T33" s="145"/>
      <c r="U33" s="148"/>
      <c r="V33" s="148">
        <f>RANK(S33,$S$5:$S$52,0)</f>
        <v>6</v>
      </c>
      <c r="W33" s="148"/>
      <c r="X33" s="47">
        <f>V33</f>
        <v>6</v>
      </c>
      <c r="Y33" s="328"/>
      <c r="Z33" s="322"/>
    </row>
    <row r="34" spans="1:30" ht="14.25" customHeight="1" thickBot="1">
      <c r="A34" s="91"/>
      <c r="B34" s="91">
        <v>58</v>
      </c>
      <c r="E34" s="332"/>
      <c r="F34" s="29">
        <v>30</v>
      </c>
      <c r="G34" s="139" t="str">
        <f>IF('Jmený seznam'!D34,'Jmený seznam'!E34)</f>
        <v>Vejs David</v>
      </c>
      <c r="H34" s="140" t="s">
        <v>26</v>
      </c>
      <c r="I34" s="167">
        <v>45</v>
      </c>
      <c r="J34" s="168">
        <v>40.01</v>
      </c>
      <c r="K34" s="168">
        <v>39.87</v>
      </c>
      <c r="L34" s="168">
        <f t="shared" si="2"/>
        <v>79.88</v>
      </c>
      <c r="M34" s="167">
        <v>82</v>
      </c>
      <c r="N34" s="167">
        <v>65</v>
      </c>
      <c r="O34" s="167">
        <v>56.25</v>
      </c>
      <c r="P34" s="169">
        <f t="shared" si="4"/>
        <v>84.375</v>
      </c>
      <c r="Q34" s="170">
        <f t="shared" si="5"/>
        <v>356.255</v>
      </c>
      <c r="R34" s="146"/>
      <c r="S34" s="146"/>
      <c r="T34" s="146">
        <f>Q34</f>
        <v>356.255</v>
      </c>
      <c r="U34" s="149"/>
      <c r="V34" s="149"/>
      <c r="W34" s="149">
        <f>RANK(T34,$T$5:$T$52,0)</f>
        <v>7</v>
      </c>
      <c r="X34" s="48">
        <f>W34</f>
        <v>7</v>
      </c>
      <c r="Y34" s="345"/>
      <c r="Z34" s="323"/>
      <c r="AD34" s="116"/>
    </row>
    <row r="35" spans="1:26" ht="14.25" customHeight="1">
      <c r="A35" s="91"/>
      <c r="B35" s="91">
        <v>60</v>
      </c>
      <c r="E35" s="333" t="str">
        <f>IF('Jmený seznam'!D35,'Jmený seznam'!C35)</f>
        <v>Severočeský</v>
      </c>
      <c r="F35" s="67">
        <v>31</v>
      </c>
      <c r="G35" s="132" t="str">
        <f>IF('Jmený seznam'!D35,'Jmený seznam'!E35)</f>
        <v>Merhaut Petr</v>
      </c>
      <c r="H35" s="117" t="s">
        <v>20</v>
      </c>
      <c r="I35" s="151">
        <v>80</v>
      </c>
      <c r="J35" s="152">
        <v>40.31</v>
      </c>
      <c r="K35" s="152">
        <v>40.95</v>
      </c>
      <c r="L35" s="152">
        <f t="shared" si="2"/>
        <v>81.26</v>
      </c>
      <c r="M35" s="151">
        <v>84</v>
      </c>
      <c r="N35" s="151">
        <v>80</v>
      </c>
      <c r="O35" s="151">
        <v>63.89</v>
      </c>
      <c r="P35" s="153">
        <f t="shared" si="4"/>
        <v>95.83500000000001</v>
      </c>
      <c r="Q35" s="154">
        <f t="shared" si="5"/>
        <v>421.095</v>
      </c>
      <c r="R35" s="144">
        <f>Q35</f>
        <v>421.095</v>
      </c>
      <c r="S35" s="144"/>
      <c r="T35" s="144"/>
      <c r="U35" s="150">
        <f>RANK(R35,$R$5:$R$52,0)</f>
        <v>4</v>
      </c>
      <c r="V35" s="147"/>
      <c r="W35" s="147"/>
      <c r="X35" s="46">
        <f>U35</f>
        <v>4</v>
      </c>
      <c r="Y35" s="362">
        <f>SUM(X35:X40)</f>
        <v>78</v>
      </c>
      <c r="Z35" s="321">
        <f>RANK(Y35,$Y$5:$Y$47,1)</f>
        <v>5</v>
      </c>
    </row>
    <row r="36" spans="1:26" ht="14.25" customHeight="1">
      <c r="A36" s="91"/>
      <c r="B36" s="91">
        <v>62</v>
      </c>
      <c r="E36" s="331"/>
      <c r="F36" s="28">
        <v>32</v>
      </c>
      <c r="G36" s="133" t="str">
        <f>IF('Jmený seznam'!D36,'Jmený seznam'!E36)</f>
        <v>Knobloch Jan</v>
      </c>
      <c r="H36" s="130" t="s">
        <v>20</v>
      </c>
      <c r="I36" s="155">
        <v>0</v>
      </c>
      <c r="J36" s="156">
        <v>20.28</v>
      </c>
      <c r="K36" s="156">
        <v>19.58</v>
      </c>
      <c r="L36" s="156">
        <f t="shared" si="2"/>
        <v>39.86</v>
      </c>
      <c r="M36" s="155">
        <v>40</v>
      </c>
      <c r="N36" s="155">
        <v>20</v>
      </c>
      <c r="O36" s="155">
        <v>36.842</v>
      </c>
      <c r="P36" s="157">
        <f t="shared" si="4"/>
        <v>55.263</v>
      </c>
      <c r="Q36" s="158">
        <f t="shared" si="5"/>
        <v>155.123</v>
      </c>
      <c r="R36" s="145">
        <f>Q36</f>
        <v>155.123</v>
      </c>
      <c r="S36" s="145"/>
      <c r="T36" s="145"/>
      <c r="U36" s="148">
        <f t="shared" si="3"/>
        <v>29</v>
      </c>
      <c r="V36" s="148"/>
      <c r="W36" s="148"/>
      <c r="X36" s="47">
        <f>U36</f>
        <v>29</v>
      </c>
      <c r="Y36" s="328"/>
      <c r="Z36" s="322"/>
    </row>
    <row r="37" spans="1:26" ht="14.25" customHeight="1">
      <c r="A37" s="91"/>
      <c r="B37" s="91">
        <v>64</v>
      </c>
      <c r="E37" s="331"/>
      <c r="F37" s="28">
        <v>33</v>
      </c>
      <c r="G37" s="133" t="str">
        <f>IF('Jmený seznam'!D37,'Jmený seznam'!E37)</f>
        <v>Richter Jiří</v>
      </c>
      <c r="H37" s="130" t="s">
        <v>20</v>
      </c>
      <c r="I37" s="155">
        <v>35</v>
      </c>
      <c r="J37" s="156">
        <v>34.98</v>
      </c>
      <c r="K37" s="156">
        <v>30.55</v>
      </c>
      <c r="L37" s="156">
        <f t="shared" si="2"/>
        <v>65.53</v>
      </c>
      <c r="M37" s="155">
        <v>74</v>
      </c>
      <c r="N37" s="155">
        <v>50</v>
      </c>
      <c r="O37" s="155">
        <v>42.17</v>
      </c>
      <c r="P37" s="157">
        <f t="shared" si="4"/>
        <v>63.255</v>
      </c>
      <c r="Q37" s="158">
        <f t="shared" si="5"/>
        <v>287.785</v>
      </c>
      <c r="R37" s="145">
        <f>Q37</f>
        <v>287.785</v>
      </c>
      <c r="S37" s="145"/>
      <c r="T37" s="145"/>
      <c r="U37" s="148">
        <f t="shared" si="3"/>
        <v>18</v>
      </c>
      <c r="V37" s="148"/>
      <c r="W37" s="148"/>
      <c r="X37" s="47">
        <f>U37</f>
        <v>18</v>
      </c>
      <c r="Y37" s="328"/>
      <c r="Z37" s="322"/>
    </row>
    <row r="38" spans="1:26" ht="14.25" customHeight="1">
      <c r="A38" s="91"/>
      <c r="B38" s="91">
        <v>66</v>
      </c>
      <c r="E38" s="331"/>
      <c r="F38" s="28">
        <v>34</v>
      </c>
      <c r="G38" s="133" t="str">
        <f>IF('Jmený seznam'!D38,'Jmený seznam'!E38)</f>
        <v>Farský Jaromír</v>
      </c>
      <c r="H38" s="130" t="s">
        <v>20</v>
      </c>
      <c r="I38" s="155">
        <v>60</v>
      </c>
      <c r="J38" s="156">
        <v>29.33</v>
      </c>
      <c r="K38" s="156">
        <v>26.69</v>
      </c>
      <c r="L38" s="156">
        <f t="shared" si="2"/>
        <v>56.019999999999996</v>
      </c>
      <c r="M38" s="155">
        <v>54</v>
      </c>
      <c r="N38" s="155">
        <v>55</v>
      </c>
      <c r="O38" s="155">
        <v>49.83</v>
      </c>
      <c r="P38" s="157">
        <f t="shared" si="4"/>
        <v>74.745</v>
      </c>
      <c r="Q38" s="158">
        <f t="shared" si="5"/>
        <v>299.765</v>
      </c>
      <c r="R38" s="145">
        <f>Q38</f>
        <v>299.765</v>
      </c>
      <c r="S38" s="145"/>
      <c r="T38" s="145"/>
      <c r="U38" s="148">
        <f t="shared" si="3"/>
        <v>14</v>
      </c>
      <c r="V38" s="148"/>
      <c r="W38" s="148"/>
      <c r="X38" s="47">
        <f>U38</f>
        <v>14</v>
      </c>
      <c r="Y38" s="328"/>
      <c r="Z38" s="322"/>
    </row>
    <row r="39" spans="1:26" ht="14.25" customHeight="1">
      <c r="A39" s="91"/>
      <c r="B39" s="91">
        <v>68</v>
      </c>
      <c r="E39" s="331"/>
      <c r="F39" s="28">
        <v>35</v>
      </c>
      <c r="G39" s="133" t="str">
        <f>IF('Jmený seznam'!D39,'Jmený seznam'!E39)</f>
        <v>Kasalová Marie</v>
      </c>
      <c r="H39" s="130" t="s">
        <v>24</v>
      </c>
      <c r="I39" s="155">
        <v>15</v>
      </c>
      <c r="J39" s="156">
        <v>26.19</v>
      </c>
      <c r="K39" s="156">
        <v>26.03</v>
      </c>
      <c r="L39" s="156">
        <f t="shared" si="2"/>
        <v>52.22</v>
      </c>
      <c r="M39" s="155">
        <v>54</v>
      </c>
      <c r="N39" s="155">
        <v>20</v>
      </c>
      <c r="O39" s="155">
        <v>35.1</v>
      </c>
      <c r="P39" s="157">
        <f t="shared" si="4"/>
        <v>52.650000000000006</v>
      </c>
      <c r="Q39" s="158">
        <f t="shared" si="5"/>
        <v>193.87</v>
      </c>
      <c r="R39" s="145"/>
      <c r="S39" s="145">
        <f>Q39</f>
        <v>193.87</v>
      </c>
      <c r="T39" s="145"/>
      <c r="U39" s="148"/>
      <c r="V39" s="148">
        <f>RANK(S39,$S$5:$S$52,0)</f>
        <v>8</v>
      </c>
      <c r="W39" s="148"/>
      <c r="X39" s="47">
        <f>V39</f>
        <v>8</v>
      </c>
      <c r="Y39" s="328"/>
      <c r="Z39" s="322"/>
    </row>
    <row r="40" spans="1:26" ht="14.25" customHeight="1" thickBot="1">
      <c r="A40" s="91"/>
      <c r="B40" s="91">
        <v>70</v>
      </c>
      <c r="E40" s="332"/>
      <c r="F40" s="29">
        <v>36</v>
      </c>
      <c r="G40" s="139" t="str">
        <f>IF('Jmený seznam'!D40,'Jmený seznam'!E40)</f>
        <v>Žejdl Ondřej</v>
      </c>
      <c r="H40" s="140" t="s">
        <v>26</v>
      </c>
      <c r="I40" s="167">
        <v>70</v>
      </c>
      <c r="J40" s="168">
        <v>35.33</v>
      </c>
      <c r="K40" s="168">
        <v>40.5</v>
      </c>
      <c r="L40" s="168">
        <f t="shared" si="2"/>
        <v>75.83</v>
      </c>
      <c r="M40" s="167">
        <v>72</v>
      </c>
      <c r="N40" s="167">
        <v>70</v>
      </c>
      <c r="O40" s="167">
        <v>55.399</v>
      </c>
      <c r="P40" s="169">
        <f t="shared" si="4"/>
        <v>83.0985</v>
      </c>
      <c r="Q40" s="170">
        <f t="shared" si="5"/>
        <v>370.9285</v>
      </c>
      <c r="R40" s="146"/>
      <c r="S40" s="146"/>
      <c r="T40" s="146">
        <f>Q40</f>
        <v>370.9285</v>
      </c>
      <c r="U40" s="149"/>
      <c r="V40" s="149"/>
      <c r="W40" s="149">
        <f>RANK(T40,$T$5:$T$52,0)</f>
        <v>5</v>
      </c>
      <c r="X40" s="48">
        <f>W40</f>
        <v>5</v>
      </c>
      <c r="Y40" s="345"/>
      <c r="Z40" s="323"/>
    </row>
    <row r="41" spans="1:26" ht="14.25" customHeight="1">
      <c r="A41" s="91"/>
      <c r="B41" s="91">
        <v>72</v>
      </c>
      <c r="E41" s="333" t="str">
        <f>IF('Jmený seznam'!D41,'Jmený seznam'!C41)</f>
        <v>Středočeský</v>
      </c>
      <c r="F41" s="67">
        <v>37</v>
      </c>
      <c r="G41" s="132" t="str">
        <f>IF('Jmený seznam'!D41,'Jmený seznam'!E41)</f>
        <v>Červenková Jana</v>
      </c>
      <c r="H41" s="117" t="s">
        <v>20</v>
      </c>
      <c r="I41" s="151">
        <v>0</v>
      </c>
      <c r="J41" s="152">
        <v>21.94</v>
      </c>
      <c r="K41" s="152">
        <v>18.93</v>
      </c>
      <c r="L41" s="152">
        <f t="shared" si="2"/>
        <v>40.870000000000005</v>
      </c>
      <c r="M41" s="151">
        <v>4</v>
      </c>
      <c r="N41" s="151">
        <v>15</v>
      </c>
      <c r="O41" s="151">
        <v>42.662</v>
      </c>
      <c r="P41" s="153">
        <f aca="true" t="shared" si="6" ref="P41:P52">O41*1.5</f>
        <v>63.992999999999995</v>
      </c>
      <c r="Q41" s="154">
        <f aca="true" t="shared" si="7" ref="Q41:Q52">SUM(I41,L41,M41,N41,P41)</f>
        <v>123.863</v>
      </c>
      <c r="R41" s="144">
        <f>Q41</f>
        <v>123.863</v>
      </c>
      <c r="S41" s="144"/>
      <c r="T41" s="144"/>
      <c r="U41" s="150">
        <f>RANK(R41,$R$5:$R$52,0)</f>
        <v>32</v>
      </c>
      <c r="V41" s="147"/>
      <c r="W41" s="147"/>
      <c r="X41" s="46">
        <f>U41</f>
        <v>32</v>
      </c>
      <c r="Y41" s="362">
        <f>SUM(X41:X46)</f>
        <v>118</v>
      </c>
      <c r="Z41" s="321">
        <f>RANK(Y41,$Y$5:$Y$47,1)</f>
        <v>8</v>
      </c>
    </row>
    <row r="42" spans="1:26" ht="14.25" customHeight="1">
      <c r="A42" s="91"/>
      <c r="B42" s="91">
        <v>74</v>
      </c>
      <c r="E42" s="331"/>
      <c r="F42" s="28">
        <v>38</v>
      </c>
      <c r="G42" s="133" t="str">
        <f>IF('Jmený seznam'!D42,'Jmený seznam'!E42)</f>
        <v>Červenka Jiří</v>
      </c>
      <c r="H42" s="130" t="s">
        <v>20</v>
      </c>
      <c r="I42" s="155">
        <v>0</v>
      </c>
      <c r="J42" s="156">
        <v>23.93</v>
      </c>
      <c r="K42" s="156">
        <v>24.59</v>
      </c>
      <c r="L42" s="156">
        <f t="shared" si="2"/>
        <v>48.519999999999996</v>
      </c>
      <c r="M42" s="155">
        <v>28</v>
      </c>
      <c r="N42" s="155">
        <v>40</v>
      </c>
      <c r="O42" s="155">
        <v>39.24</v>
      </c>
      <c r="P42" s="157">
        <f t="shared" si="6"/>
        <v>58.86</v>
      </c>
      <c r="Q42" s="158">
        <f t="shared" si="7"/>
        <v>175.38</v>
      </c>
      <c r="R42" s="145">
        <f>Q42</f>
        <v>175.38</v>
      </c>
      <c r="S42" s="145"/>
      <c r="T42" s="145"/>
      <c r="U42" s="148">
        <f t="shared" si="3"/>
        <v>26</v>
      </c>
      <c r="V42" s="148"/>
      <c r="W42" s="148"/>
      <c r="X42" s="47">
        <f>U42</f>
        <v>26</v>
      </c>
      <c r="Y42" s="328"/>
      <c r="Z42" s="322"/>
    </row>
    <row r="43" spans="1:26" ht="14.25" customHeight="1">
      <c r="A43" s="91"/>
      <c r="B43" s="91">
        <v>76</v>
      </c>
      <c r="E43" s="331"/>
      <c r="F43" s="28">
        <v>39</v>
      </c>
      <c r="G43" s="133" t="str">
        <f>IF('Jmený seznam'!D43,'Jmený seznam'!E43)</f>
        <v>Šedivý Vojtěch</v>
      </c>
      <c r="H43" s="130" t="s">
        <v>20</v>
      </c>
      <c r="I43" s="155">
        <v>55</v>
      </c>
      <c r="J43" s="156">
        <v>26.8</v>
      </c>
      <c r="K43" s="156">
        <v>24.27</v>
      </c>
      <c r="L43" s="156">
        <f t="shared" si="2"/>
        <v>51.07</v>
      </c>
      <c r="M43" s="155">
        <v>74</v>
      </c>
      <c r="N43" s="155">
        <v>35</v>
      </c>
      <c r="O43" s="155">
        <v>47.65</v>
      </c>
      <c r="P43" s="157">
        <f t="shared" si="6"/>
        <v>71.475</v>
      </c>
      <c r="Q43" s="158">
        <f t="shared" si="7"/>
        <v>286.54499999999996</v>
      </c>
      <c r="R43" s="145">
        <f>Q43</f>
        <v>286.54499999999996</v>
      </c>
      <c r="S43" s="145"/>
      <c r="T43" s="145"/>
      <c r="U43" s="148">
        <f t="shared" si="3"/>
        <v>19</v>
      </c>
      <c r="V43" s="148"/>
      <c r="W43" s="148"/>
      <c r="X43" s="47">
        <f>U43</f>
        <v>19</v>
      </c>
      <c r="Y43" s="328"/>
      <c r="Z43" s="322"/>
    </row>
    <row r="44" spans="1:26" ht="14.25" customHeight="1">
      <c r="A44" s="91"/>
      <c r="B44" s="91">
        <v>78</v>
      </c>
      <c r="E44" s="331"/>
      <c r="F44" s="28">
        <v>40</v>
      </c>
      <c r="G44" s="133" t="str">
        <f>IF('Jmený seznam'!D44,'Jmený seznam'!E44)</f>
        <v>Dvořák Matěj</v>
      </c>
      <c r="H44" s="130" t="s">
        <v>20</v>
      </c>
      <c r="I44" s="155">
        <v>0</v>
      </c>
      <c r="J44" s="156">
        <v>20.03</v>
      </c>
      <c r="K44" s="156">
        <v>19.9</v>
      </c>
      <c r="L44" s="156">
        <f t="shared" si="2"/>
        <v>39.93</v>
      </c>
      <c r="M44" s="155">
        <v>36</v>
      </c>
      <c r="N44" s="155">
        <v>25</v>
      </c>
      <c r="O44" s="155">
        <v>34.57</v>
      </c>
      <c r="P44" s="157">
        <f t="shared" si="6"/>
        <v>51.855000000000004</v>
      </c>
      <c r="Q44" s="158">
        <f t="shared" si="7"/>
        <v>152.78500000000003</v>
      </c>
      <c r="R44" s="145">
        <f>Q44</f>
        <v>152.78500000000003</v>
      </c>
      <c r="S44" s="145"/>
      <c r="T44" s="145"/>
      <c r="U44" s="148">
        <f t="shared" si="3"/>
        <v>30</v>
      </c>
      <c r="V44" s="148"/>
      <c r="W44" s="148"/>
      <c r="X44" s="47">
        <f>U44</f>
        <v>30</v>
      </c>
      <c r="Y44" s="328"/>
      <c r="Z44" s="322"/>
    </row>
    <row r="45" spans="1:26" ht="14.25" customHeight="1">
      <c r="A45" s="91"/>
      <c r="B45" s="91">
        <v>80</v>
      </c>
      <c r="E45" s="331"/>
      <c r="F45" s="28">
        <v>41</v>
      </c>
      <c r="G45" s="133" t="str">
        <f>IF('Jmený seznam'!D45,'Jmený seznam'!E45)</f>
        <v>Caltová Zuzana</v>
      </c>
      <c r="H45" s="130" t="s">
        <v>24</v>
      </c>
      <c r="I45" s="155">
        <v>45</v>
      </c>
      <c r="J45" s="156">
        <v>32.37</v>
      </c>
      <c r="K45" s="156">
        <v>34.63</v>
      </c>
      <c r="L45" s="156">
        <f t="shared" si="2"/>
        <v>67</v>
      </c>
      <c r="M45" s="155">
        <v>68</v>
      </c>
      <c r="N45" s="155">
        <v>35</v>
      </c>
      <c r="O45" s="155">
        <v>47.65</v>
      </c>
      <c r="P45" s="157">
        <f t="shared" si="6"/>
        <v>71.475</v>
      </c>
      <c r="Q45" s="158">
        <f t="shared" si="7"/>
        <v>286.475</v>
      </c>
      <c r="R45" s="145"/>
      <c r="S45" s="145">
        <f>Q45</f>
        <v>286.475</v>
      </c>
      <c r="T45" s="145"/>
      <c r="U45" s="148"/>
      <c r="V45" s="148">
        <f>RANK(S45,$S$5:$S$52,0)</f>
        <v>5</v>
      </c>
      <c r="W45" s="148"/>
      <c r="X45" s="47">
        <f>V45</f>
        <v>5</v>
      </c>
      <c r="Y45" s="328"/>
      <c r="Z45" s="322"/>
    </row>
    <row r="46" spans="1:30" ht="14.25" customHeight="1" thickBot="1">
      <c r="A46" s="91"/>
      <c r="B46" s="91">
        <v>82</v>
      </c>
      <c r="E46" s="332"/>
      <c r="F46" s="29">
        <v>42</v>
      </c>
      <c r="G46" s="139" t="str">
        <f>IF('Jmený seznam'!D46,'Jmený seznam'!E46)</f>
        <v>Linhart Jan</v>
      </c>
      <c r="H46" s="140" t="s">
        <v>26</v>
      </c>
      <c r="I46" s="167">
        <v>60</v>
      </c>
      <c r="J46" s="168">
        <v>39.08</v>
      </c>
      <c r="K46" s="168">
        <v>35.09</v>
      </c>
      <c r="L46" s="168">
        <f t="shared" si="2"/>
        <v>74.17</v>
      </c>
      <c r="M46" s="167">
        <v>88</v>
      </c>
      <c r="N46" s="167">
        <v>60</v>
      </c>
      <c r="O46" s="167">
        <v>51.12</v>
      </c>
      <c r="P46" s="169">
        <f t="shared" si="6"/>
        <v>76.67999999999999</v>
      </c>
      <c r="Q46" s="170">
        <f t="shared" si="7"/>
        <v>358.85</v>
      </c>
      <c r="R46" s="146"/>
      <c r="S46" s="146"/>
      <c r="T46" s="146">
        <f>Q46</f>
        <v>358.85</v>
      </c>
      <c r="U46" s="149"/>
      <c r="V46" s="149"/>
      <c r="W46" s="149">
        <f>RANK(T46,$T$5:$T$52,0)</f>
        <v>6</v>
      </c>
      <c r="X46" s="48">
        <f>W46</f>
        <v>6</v>
      </c>
      <c r="Y46" s="345"/>
      <c r="Z46" s="323"/>
      <c r="AD46" s="207"/>
    </row>
    <row r="47" spans="1:26" ht="14.25" customHeight="1">
      <c r="A47" s="91"/>
      <c r="B47" s="91">
        <v>84</v>
      </c>
      <c r="E47" s="333" t="str">
        <f>IF('Jmený seznam'!D47,'Jmený seznam'!C47)</f>
        <v>Jihočeský</v>
      </c>
      <c r="F47" s="67">
        <v>43</v>
      </c>
      <c r="G47" s="132" t="str">
        <f>IF('Jmený seznam'!D47,'Jmený seznam'!E47)</f>
        <v>Strupek Matěj</v>
      </c>
      <c r="H47" s="117" t="s">
        <v>20</v>
      </c>
      <c r="I47" s="151">
        <v>0</v>
      </c>
      <c r="J47" s="152">
        <v>20.44</v>
      </c>
      <c r="K47" s="152">
        <v>20.67</v>
      </c>
      <c r="L47" s="152">
        <f t="shared" si="2"/>
        <v>41.11</v>
      </c>
      <c r="M47" s="151">
        <v>64</v>
      </c>
      <c r="N47" s="151">
        <v>35</v>
      </c>
      <c r="O47" s="151">
        <v>25.38</v>
      </c>
      <c r="P47" s="153">
        <f t="shared" si="6"/>
        <v>38.07</v>
      </c>
      <c r="Q47" s="154">
        <f t="shared" si="7"/>
        <v>178.18</v>
      </c>
      <c r="R47" s="144">
        <f>Q47</f>
        <v>178.18</v>
      </c>
      <c r="S47" s="144"/>
      <c r="T47" s="144"/>
      <c r="U47" s="150">
        <f>RANK(R47,$R$5:$R$52,0)</f>
        <v>24</v>
      </c>
      <c r="V47" s="147"/>
      <c r="W47" s="147"/>
      <c r="X47" s="46">
        <f>U47</f>
        <v>24</v>
      </c>
      <c r="Y47" s="363">
        <f>SUM(X47:X52)</f>
        <v>72</v>
      </c>
      <c r="Z47" s="321">
        <f>RANK(Y47,$Y$5:$Y$47,1)</f>
        <v>4</v>
      </c>
    </row>
    <row r="48" spans="1:26" ht="14.25" customHeight="1">
      <c r="A48" s="91"/>
      <c r="B48" s="91">
        <v>86</v>
      </c>
      <c r="E48" s="331"/>
      <c r="F48" s="28">
        <v>44</v>
      </c>
      <c r="G48" s="133" t="str">
        <f>IF('Jmený seznam'!D48,'Jmený seznam'!E48)</f>
        <v>Lešek Tomáš</v>
      </c>
      <c r="H48" s="130" t="s">
        <v>20</v>
      </c>
      <c r="I48" s="155">
        <v>60</v>
      </c>
      <c r="J48" s="156">
        <v>27.57</v>
      </c>
      <c r="K48" s="156">
        <v>26.65</v>
      </c>
      <c r="L48" s="156">
        <f t="shared" si="2"/>
        <v>54.22</v>
      </c>
      <c r="M48" s="155">
        <v>74</v>
      </c>
      <c r="N48" s="155">
        <v>75</v>
      </c>
      <c r="O48" s="155">
        <v>41.39</v>
      </c>
      <c r="P48" s="157">
        <f t="shared" si="6"/>
        <v>62.085</v>
      </c>
      <c r="Q48" s="158">
        <f t="shared" si="7"/>
        <v>325.305</v>
      </c>
      <c r="R48" s="145">
        <f>Q48</f>
        <v>325.305</v>
      </c>
      <c r="S48" s="145"/>
      <c r="T48" s="145"/>
      <c r="U48" s="148">
        <f t="shared" si="3"/>
        <v>11</v>
      </c>
      <c r="V48" s="148"/>
      <c r="W48" s="148"/>
      <c r="X48" s="47">
        <f>U48</f>
        <v>11</v>
      </c>
      <c r="Y48" s="364"/>
      <c r="Z48" s="322"/>
    </row>
    <row r="49" spans="1:26" ht="14.25" customHeight="1">
      <c r="A49" s="91"/>
      <c r="B49" s="91">
        <v>88</v>
      </c>
      <c r="E49" s="331"/>
      <c r="F49" s="28">
        <v>45</v>
      </c>
      <c r="G49" s="133" t="str">
        <f>IF('Jmený seznam'!D49,'Jmený seznam'!E49)</f>
        <v>Nusko Petr</v>
      </c>
      <c r="H49" s="130" t="s">
        <v>20</v>
      </c>
      <c r="I49" s="155">
        <v>0</v>
      </c>
      <c r="J49" s="156">
        <v>33.88</v>
      </c>
      <c r="K49" s="156">
        <v>32.41</v>
      </c>
      <c r="L49" s="156">
        <f t="shared" si="2"/>
        <v>66.28999999999999</v>
      </c>
      <c r="M49" s="155">
        <v>46</v>
      </c>
      <c r="N49" s="155">
        <v>30</v>
      </c>
      <c r="O49" s="155">
        <v>30.574</v>
      </c>
      <c r="P49" s="157">
        <f t="shared" si="6"/>
        <v>45.861000000000004</v>
      </c>
      <c r="Q49" s="158">
        <f t="shared" si="7"/>
        <v>188.151</v>
      </c>
      <c r="R49" s="145">
        <f>Q49</f>
        <v>188.151</v>
      </c>
      <c r="S49" s="145"/>
      <c r="T49" s="145"/>
      <c r="U49" s="148">
        <f t="shared" si="3"/>
        <v>23</v>
      </c>
      <c r="V49" s="148"/>
      <c r="W49" s="148"/>
      <c r="X49" s="47">
        <f>U49</f>
        <v>23</v>
      </c>
      <c r="Y49" s="364"/>
      <c r="Z49" s="322"/>
    </row>
    <row r="50" spans="1:26" ht="14.25" customHeight="1">
      <c r="A50" s="91"/>
      <c r="B50" s="91">
        <v>90</v>
      </c>
      <c r="E50" s="331"/>
      <c r="F50" s="28">
        <v>46</v>
      </c>
      <c r="G50" s="133" t="str">
        <f>IF('Jmený seznam'!D50,'Jmený seznam'!E50)</f>
        <v>Benešová Karolína</v>
      </c>
      <c r="H50" s="130" t="s">
        <v>20</v>
      </c>
      <c r="I50" s="155">
        <v>65</v>
      </c>
      <c r="J50" s="156">
        <v>33.65</v>
      </c>
      <c r="K50" s="156">
        <v>33.28</v>
      </c>
      <c r="L50" s="156">
        <f t="shared" si="2"/>
        <v>66.93</v>
      </c>
      <c r="M50" s="155">
        <v>90</v>
      </c>
      <c r="N50" s="155">
        <v>70</v>
      </c>
      <c r="O50" s="155">
        <v>58.68</v>
      </c>
      <c r="P50" s="157">
        <f t="shared" si="6"/>
        <v>88.02</v>
      </c>
      <c r="Q50" s="158">
        <f t="shared" si="7"/>
        <v>379.95</v>
      </c>
      <c r="R50" s="145">
        <f>Q50</f>
        <v>379.95</v>
      </c>
      <c r="S50" s="145"/>
      <c r="T50" s="145"/>
      <c r="U50" s="148">
        <f t="shared" si="3"/>
        <v>8</v>
      </c>
      <c r="V50" s="148"/>
      <c r="W50" s="148"/>
      <c r="X50" s="47">
        <f>U50</f>
        <v>8</v>
      </c>
      <c r="Y50" s="364"/>
      <c r="Z50" s="322"/>
    </row>
    <row r="51" spans="1:26" ht="14.25" customHeight="1">
      <c r="A51" s="91"/>
      <c r="B51" s="91">
        <v>92</v>
      </c>
      <c r="E51" s="331"/>
      <c r="F51" s="28">
        <v>47</v>
      </c>
      <c r="G51" s="133" t="str">
        <f>IF('Jmený seznam'!D51,'Jmený seznam'!E51)</f>
        <v>Tomšíková Veronika</v>
      </c>
      <c r="H51" s="130" t="s">
        <v>24</v>
      </c>
      <c r="I51" s="155">
        <v>75</v>
      </c>
      <c r="J51" s="156">
        <v>31.84</v>
      </c>
      <c r="K51" s="156">
        <v>31.06</v>
      </c>
      <c r="L51" s="156">
        <f t="shared" si="2"/>
        <v>62.9</v>
      </c>
      <c r="M51" s="155">
        <v>74</v>
      </c>
      <c r="N51" s="155">
        <v>75</v>
      </c>
      <c r="O51" s="155">
        <v>39.17</v>
      </c>
      <c r="P51" s="157">
        <f t="shared" si="6"/>
        <v>58.755</v>
      </c>
      <c r="Q51" s="158">
        <f t="shared" si="7"/>
        <v>345.655</v>
      </c>
      <c r="R51" s="145"/>
      <c r="S51" s="145">
        <f>Q51</f>
        <v>345.655</v>
      </c>
      <c r="T51" s="145"/>
      <c r="U51" s="148"/>
      <c r="V51" s="148">
        <f>RANK(S51,$S$5:$S$52,0)</f>
        <v>4</v>
      </c>
      <c r="W51" s="148"/>
      <c r="X51" s="47">
        <f>V51</f>
        <v>4</v>
      </c>
      <c r="Y51" s="364"/>
      <c r="Z51" s="322"/>
    </row>
    <row r="52" spans="1:26" ht="14.25" customHeight="1" thickBot="1">
      <c r="A52" s="91"/>
      <c r="B52" s="91">
        <v>94</v>
      </c>
      <c r="E52" s="332"/>
      <c r="F52" s="29">
        <v>48</v>
      </c>
      <c r="G52" s="134" t="str">
        <f>IF('Jmený seznam'!D52,'Jmený seznam'!E52)</f>
        <v>Sepekář Milan</v>
      </c>
      <c r="H52" s="135" t="s">
        <v>26</v>
      </c>
      <c r="I52" s="159">
        <v>90</v>
      </c>
      <c r="J52" s="160">
        <v>41.83</v>
      </c>
      <c r="K52" s="160">
        <v>39.7</v>
      </c>
      <c r="L52" s="160">
        <f t="shared" si="2"/>
        <v>81.53</v>
      </c>
      <c r="M52" s="159">
        <v>88</v>
      </c>
      <c r="N52" s="159">
        <v>80</v>
      </c>
      <c r="O52" s="159">
        <v>66.615</v>
      </c>
      <c r="P52" s="161">
        <f t="shared" si="6"/>
        <v>99.92249999999999</v>
      </c>
      <c r="Q52" s="162">
        <f t="shared" si="7"/>
        <v>439.4525</v>
      </c>
      <c r="R52" s="146"/>
      <c r="S52" s="146"/>
      <c r="T52" s="146">
        <f>Q52</f>
        <v>439.4525</v>
      </c>
      <c r="U52" s="149"/>
      <c r="V52" s="149"/>
      <c r="W52" s="149">
        <f>RANK(T52,$T$5:$T$52,0)</f>
        <v>2</v>
      </c>
      <c r="X52" s="48">
        <f>W52</f>
        <v>2</v>
      </c>
      <c r="Y52" s="365"/>
      <c r="Z52" s="335"/>
    </row>
    <row r="53" spans="1:26" ht="14.25" customHeight="1">
      <c r="A53" s="91"/>
      <c r="B53" s="91">
        <v>96</v>
      </c>
      <c r="Z53" s="91">
        <f>SUM(Z5:Z52)</f>
        <v>36</v>
      </c>
    </row>
    <row r="54" spans="1:2" ht="14.25" customHeight="1">
      <c r="A54" s="91"/>
      <c r="B54" s="91">
        <v>98</v>
      </c>
    </row>
    <row r="55" spans="1:2" ht="14.25" customHeight="1">
      <c r="A55" s="91"/>
      <c r="B55" s="91">
        <v>100</v>
      </c>
    </row>
    <row r="56" spans="1:2" ht="14.25" customHeight="1">
      <c r="A56" s="91"/>
      <c r="B56" s="91"/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</sheetData>
  <sheetProtection/>
  <mergeCells count="38">
    <mergeCell ref="Z23:Z28"/>
    <mergeCell ref="Y23:Y28"/>
    <mergeCell ref="E23:E28"/>
    <mergeCell ref="I3:I4"/>
    <mergeCell ref="N3:N4"/>
    <mergeCell ref="Z3:Z4"/>
    <mergeCell ref="Y5:Y10"/>
    <mergeCell ref="Y11:Y16"/>
    <mergeCell ref="Y17:Y22"/>
    <mergeCell ref="Z17:Z22"/>
    <mergeCell ref="Z5:Z10"/>
    <mergeCell ref="Z11:Z16"/>
    <mergeCell ref="E17:E22"/>
    <mergeCell ref="E5:E10"/>
    <mergeCell ref="E11:E16"/>
    <mergeCell ref="Q3:Q4"/>
    <mergeCell ref="Y2:Z2"/>
    <mergeCell ref="O3:P3"/>
    <mergeCell ref="E1:Z1"/>
    <mergeCell ref="M3:M4"/>
    <mergeCell ref="Y3:Y4"/>
    <mergeCell ref="X3:X4"/>
    <mergeCell ref="J3:L3"/>
    <mergeCell ref="E2:E4"/>
    <mergeCell ref="I2:P2"/>
    <mergeCell ref="Q2:X2"/>
    <mergeCell ref="E29:E34"/>
    <mergeCell ref="Y29:Y34"/>
    <mergeCell ref="Z29:Z34"/>
    <mergeCell ref="E35:E40"/>
    <mergeCell ref="Y35:Y40"/>
    <mergeCell ref="Z35:Z40"/>
    <mergeCell ref="E41:E46"/>
    <mergeCell ref="Y41:Y46"/>
    <mergeCell ref="Z41:Z46"/>
    <mergeCell ref="E47:E52"/>
    <mergeCell ref="Y47:Y52"/>
    <mergeCell ref="Z47:Z52"/>
  </mergeCells>
  <conditionalFormatting sqref="X5:X52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dataValidations count="2">
    <dataValidation type="list" allowBlank="1" showDropDown="1" showErrorMessage="1" errorTitle="Pozor" error="chyba: hodnocení je v rozsahu 0-100 bodů ( zásah = 5 bodů )" sqref="N5:N52 I5:I52">
      <formula1>$A$5:$A$25</formula1>
    </dataValidation>
    <dataValidation type="list" allowBlank="1" showDropDown="1" showErrorMessage="1" errorTitle="Pozor" error="chyba: hodnocení je v rozsahu 0-100 bodů ( 2 ; 4 ; 6 ; 8 ; 10 )" sqref="M5:M52">
      <formula1>$B$5:$B$55</formula1>
    </dataValidation>
  </dataValidations>
  <printOptions/>
  <pageMargins left="0.19" right="0.28" top="0.57" bottom="0.36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Z51"/>
  <sheetViews>
    <sheetView zoomScalePageLayoutView="0" workbookViewId="0" topLeftCell="D1">
      <selection activeCell="AD6" sqref="AD6"/>
    </sheetView>
  </sheetViews>
  <sheetFormatPr defaultColWidth="14.421875" defaultRowHeight="15" customHeight="1"/>
  <cols>
    <col min="1" max="2" width="0.85546875" style="118" customWidth="1"/>
    <col min="3" max="4" width="6.8515625" style="0" customWidth="1"/>
    <col min="5" max="5" width="19.00390625" style="0" customWidth="1"/>
    <col min="6" max="6" width="6.421875" style="0" customWidth="1"/>
    <col min="7" max="8" width="7.140625" style="0" customWidth="1"/>
    <col min="9" max="9" width="7.00390625" style="0" customWidth="1"/>
    <col min="10" max="13" width="7.00390625" style="34" hidden="1" customWidth="1"/>
    <col min="14" max="14" width="7.00390625" style="118" hidden="1" customWidth="1"/>
    <col min="15" max="15" width="7.00390625" style="34" hidden="1" customWidth="1"/>
    <col min="16" max="16" width="7.00390625" style="118" hidden="1" customWidth="1"/>
    <col min="17" max="17" width="7.00390625" style="34" hidden="1" customWidth="1"/>
    <col min="18" max="21" width="7.00390625" style="118" hidden="1" customWidth="1"/>
    <col min="22" max="24" width="8.7109375" style="118" hidden="1" customWidth="1"/>
    <col min="25" max="25" width="13.00390625" style="0" customWidth="1"/>
    <col min="26" max="26" width="13.8515625" style="0" customWidth="1"/>
    <col min="27" max="43" width="8.7109375" style="0" customWidth="1"/>
  </cols>
  <sheetData>
    <row r="1" spans="3:8" ht="26.25" customHeight="1">
      <c r="C1" s="388" t="s">
        <v>0</v>
      </c>
      <c r="D1" s="303" t="s">
        <v>51</v>
      </c>
      <c r="E1" s="27" t="s">
        <v>52</v>
      </c>
      <c r="F1" s="27"/>
      <c r="G1" s="27"/>
      <c r="H1" s="27"/>
    </row>
    <row r="2" spans="3:4" ht="7.5" customHeight="1">
      <c r="C2" s="389"/>
      <c r="D2" s="389"/>
    </row>
    <row r="3" spans="3:26" ht="14.25" customHeight="1" thickBot="1">
      <c r="C3" s="316"/>
      <c r="D3" s="316"/>
      <c r="E3" s="171" t="s">
        <v>53</v>
      </c>
      <c r="F3" s="75" t="s">
        <v>5</v>
      </c>
      <c r="G3" s="172" t="s">
        <v>54</v>
      </c>
      <c r="H3" s="172" t="s">
        <v>55</v>
      </c>
      <c r="I3" s="172" t="s">
        <v>56</v>
      </c>
      <c r="J3" s="167" t="s">
        <v>20</v>
      </c>
      <c r="K3" s="167" t="s">
        <v>24</v>
      </c>
      <c r="L3" s="167" t="s">
        <v>26</v>
      </c>
      <c r="M3" s="167" t="s">
        <v>114</v>
      </c>
      <c r="N3" s="167" t="s">
        <v>154</v>
      </c>
      <c r="O3" s="167" t="s">
        <v>115</v>
      </c>
      <c r="P3" s="167" t="s">
        <v>155</v>
      </c>
      <c r="Q3" s="167" t="s">
        <v>116</v>
      </c>
      <c r="R3" s="167" t="s">
        <v>156</v>
      </c>
      <c r="S3" s="167" t="s">
        <v>20</v>
      </c>
      <c r="T3" s="167" t="s">
        <v>24</v>
      </c>
      <c r="U3" s="167" t="s">
        <v>26</v>
      </c>
      <c r="V3" s="167" t="s">
        <v>120</v>
      </c>
      <c r="W3" s="167" t="s">
        <v>121</v>
      </c>
      <c r="X3" s="167" t="s">
        <v>122</v>
      </c>
      <c r="Y3" s="75" t="s">
        <v>14</v>
      </c>
      <c r="Z3" s="75" t="s">
        <v>16</v>
      </c>
    </row>
    <row r="4" spans="3:26" ht="15" customHeight="1">
      <c r="C4" s="374" t="str">
        <f>IF('Jmený seznam'!D5,'Jmený seznam'!C5)</f>
        <v>Město Praha</v>
      </c>
      <c r="D4" s="173">
        <v>1</v>
      </c>
      <c r="E4" s="57" t="str">
        <f>IF('Jmený seznam'!D5,'Jmený seznam'!E5)</f>
        <v>Hurníková Martina</v>
      </c>
      <c r="F4" s="56" t="s">
        <v>20</v>
      </c>
      <c r="G4" s="251">
        <f>IF(RZ!$BA$52=8,"",IF(RZ!G4,RZ!AY4))</f>
        <v>17</v>
      </c>
      <c r="H4" s="56">
        <f>IF(LRU!$AZ$53=0,"",IF(LRU!E5,LRU!AW5))</f>
        <v>25</v>
      </c>
      <c r="I4" s="251">
        <f>IF(RT!$Z$53=8,"",IF(RT!F5,RT!X5))</f>
        <v>27</v>
      </c>
      <c r="J4" s="58">
        <f>Y4</f>
        <v>69</v>
      </c>
      <c r="K4" s="58"/>
      <c r="L4" s="58"/>
      <c r="M4" s="113">
        <f>RANK(J4,$J$4:$J$51,1)</f>
        <v>26</v>
      </c>
      <c r="N4" s="113">
        <f>COUNTIF($M$4:$M$51,M4)</f>
        <v>1</v>
      </c>
      <c r="O4" s="59"/>
      <c r="P4" s="113"/>
      <c r="Q4" s="59"/>
      <c r="R4" s="59"/>
      <c r="S4" s="242">
        <f>J4+(G4/100000)</f>
        <v>69.00017</v>
      </c>
      <c r="T4" s="243"/>
      <c r="U4" s="243"/>
      <c r="V4" s="113">
        <f>RANK(S4,$S$4:$S$51,1)</f>
        <v>26</v>
      </c>
      <c r="W4" s="59"/>
      <c r="X4" s="59"/>
      <c r="Y4" s="56">
        <f aca="true" t="shared" si="0" ref="Y4:Y51">SUM(G4,H4,I4)</f>
        <v>69</v>
      </c>
      <c r="Z4" s="248">
        <f>IF(N4=1,M4,V4)</f>
        <v>26</v>
      </c>
    </row>
    <row r="5" spans="3:26" ht="14.25" customHeight="1">
      <c r="C5" s="375"/>
      <c r="D5" s="174">
        <v>2</v>
      </c>
      <c r="E5" s="52" t="str">
        <f>IF('Jmený seznam'!D6,'Jmený seznam'!E6)</f>
        <v>Hurníková Markéta</v>
      </c>
      <c r="F5" s="51" t="s">
        <v>20</v>
      </c>
      <c r="G5" s="51">
        <f>IF(RZ!$BA$52=8,"",IF(RZ!G5,RZ!AY5))</f>
        <v>26</v>
      </c>
      <c r="H5" s="51">
        <f>IF(LRU!$AZ$53=0,"",IF(LRU!E6,LRU!AW6))</f>
        <v>23</v>
      </c>
      <c r="I5" s="51">
        <f>IF(RT!$Z$53=8,"",IF(RT!F6,RT!X6))</f>
        <v>28</v>
      </c>
      <c r="J5" s="53">
        <f>Y5</f>
        <v>77</v>
      </c>
      <c r="K5" s="53"/>
      <c r="L5" s="53"/>
      <c r="M5" s="54">
        <f>RANK(J5,$J$4:$J$51,1)</f>
        <v>29</v>
      </c>
      <c r="N5" s="54">
        <f>COUNTIF($M$4:$M$51,M5)</f>
        <v>1</v>
      </c>
      <c r="O5" s="54"/>
      <c r="P5" s="54"/>
      <c r="Q5" s="54"/>
      <c r="R5" s="54"/>
      <c r="S5" s="244">
        <f>J5+(G5/100000)</f>
        <v>77.00026</v>
      </c>
      <c r="T5" s="244"/>
      <c r="U5" s="244"/>
      <c r="V5" s="54">
        <f>RANK(S5,$S$4:$S$51,1)</f>
        <v>29</v>
      </c>
      <c r="W5" s="54"/>
      <c r="X5" s="54"/>
      <c r="Y5" s="51">
        <f t="shared" si="0"/>
        <v>77</v>
      </c>
      <c r="Z5" s="47">
        <f>IF(N5=1,M5,V5)</f>
        <v>29</v>
      </c>
    </row>
    <row r="6" spans="3:26" ht="14.25" customHeight="1">
      <c r="C6" s="375"/>
      <c r="D6" s="174">
        <v>3</v>
      </c>
      <c r="E6" s="52" t="str">
        <f>IF('Jmený seznam'!D7,'Jmený seznam'!E7)</f>
        <v>Hurníková Michaela</v>
      </c>
      <c r="F6" s="51" t="s">
        <v>20</v>
      </c>
      <c r="G6" s="51">
        <f>IF(RZ!$BA$52=8,"",IF(RZ!G6,RZ!AY6))</f>
        <v>24</v>
      </c>
      <c r="H6" s="51">
        <f>IF(LRU!$AZ$53=0,"",IF(LRU!E7,LRU!AW7))</f>
        <v>20</v>
      </c>
      <c r="I6" s="51">
        <f>IF(RT!$Z$53=8,"",IF(RT!F7,RT!X7))</f>
        <v>31</v>
      </c>
      <c r="J6" s="53">
        <f>Y6</f>
        <v>75</v>
      </c>
      <c r="K6" s="53"/>
      <c r="L6" s="53"/>
      <c r="M6" s="54">
        <f>RANK(J6,$J$4:$J$51,1)</f>
        <v>28</v>
      </c>
      <c r="N6" s="54">
        <f>COUNTIF($M$4:$M$51,M6)</f>
        <v>1</v>
      </c>
      <c r="O6" s="54"/>
      <c r="P6" s="54"/>
      <c r="Q6" s="54"/>
      <c r="R6" s="54"/>
      <c r="S6" s="244">
        <f>J6+(G6/100000)</f>
        <v>75.00024</v>
      </c>
      <c r="T6" s="244"/>
      <c r="U6" s="244"/>
      <c r="V6" s="54">
        <f>RANK(S6,$S$4:$S$51,1)</f>
        <v>28</v>
      </c>
      <c r="W6" s="54"/>
      <c r="X6" s="54"/>
      <c r="Y6" s="51">
        <f t="shared" si="0"/>
        <v>75</v>
      </c>
      <c r="Z6" s="47">
        <f>IF(N6=1,M6,V6)</f>
        <v>28</v>
      </c>
    </row>
    <row r="7" spans="3:26" ht="14.25" customHeight="1">
      <c r="C7" s="375"/>
      <c r="D7" s="174">
        <v>4</v>
      </c>
      <c r="E7" s="52" t="str">
        <f>IF('Jmený seznam'!D8,'Jmený seznam'!E8)</f>
        <v>Těšínský Jindřich</v>
      </c>
      <c r="F7" s="51" t="s">
        <v>20</v>
      </c>
      <c r="G7" s="51">
        <f>IF(RZ!$BA$52=8,"",IF(RZ!G7,RZ!AY7))</f>
        <v>13</v>
      </c>
      <c r="H7" s="51">
        <f>IF(LRU!$AZ$53=0,"",IF(LRU!E8,LRU!AW8))</f>
        <v>13</v>
      </c>
      <c r="I7" s="51">
        <f>IF(RT!$Z$53=8,"",IF(RT!F8,RT!X8))</f>
        <v>15</v>
      </c>
      <c r="J7" s="53">
        <f>Y7</f>
        <v>41</v>
      </c>
      <c r="K7" s="53"/>
      <c r="L7" s="53"/>
      <c r="M7" s="54">
        <f>RANK(J7,$J$4:$J$51,1)</f>
        <v>12</v>
      </c>
      <c r="N7" s="54">
        <f>COUNTIF($M$4:$M$51,M7)</f>
        <v>1</v>
      </c>
      <c r="O7" s="54"/>
      <c r="P7" s="54"/>
      <c r="Q7" s="54"/>
      <c r="R7" s="54"/>
      <c r="S7" s="244">
        <f>J7+(G7/100000)</f>
        <v>41.00013</v>
      </c>
      <c r="T7" s="244"/>
      <c r="U7" s="244"/>
      <c r="V7" s="54">
        <f>RANK(S7,$S$4:$S$51,1)</f>
        <v>12</v>
      </c>
      <c r="W7" s="54"/>
      <c r="X7" s="54"/>
      <c r="Y7" s="51">
        <f t="shared" si="0"/>
        <v>41</v>
      </c>
      <c r="Z7" s="124">
        <f>IF(N7=1,M7,V7)</f>
        <v>12</v>
      </c>
    </row>
    <row r="8" spans="3:26" ht="14.25" customHeight="1">
      <c r="C8" s="375"/>
      <c r="D8" s="174">
        <v>5</v>
      </c>
      <c r="E8" s="52" t="str">
        <f>IF('Jmený seznam'!D9,'Jmený seznam'!E9)</f>
        <v>Tvrdá Nikola</v>
      </c>
      <c r="F8" s="51" t="s">
        <v>24</v>
      </c>
      <c r="G8" s="51">
        <f>IF(RZ!$BA$52=8,"",IF(RZ!G8,RZ!AY8))</f>
        <v>1</v>
      </c>
      <c r="H8" s="51">
        <f>IF(LRU!$AZ$53=0,"",IF(LRU!E9,LRU!AW9))</f>
        <v>3</v>
      </c>
      <c r="I8" s="51">
        <f>IF(RT!$Z$53=8,"",IF(RT!F9,RT!X9))</f>
        <v>7</v>
      </c>
      <c r="J8" s="53"/>
      <c r="K8" s="53">
        <f>Y8</f>
        <v>11</v>
      </c>
      <c r="L8" s="53"/>
      <c r="M8" s="54"/>
      <c r="N8" s="54"/>
      <c r="O8" s="54">
        <f>RANK(K8,$K$4:$K$51,1)</f>
        <v>3</v>
      </c>
      <c r="P8" s="54">
        <f>COUNTIF($O$4:$O$51,O8)</f>
        <v>1</v>
      </c>
      <c r="Q8" s="54"/>
      <c r="R8" s="54"/>
      <c r="S8" s="244"/>
      <c r="T8" s="244">
        <f>K8+(G8/100000)</f>
        <v>11.00001</v>
      </c>
      <c r="U8" s="244"/>
      <c r="V8" s="54"/>
      <c r="W8" s="54">
        <f>RANK(T8,$T$4:$T$51,1)</f>
        <v>3</v>
      </c>
      <c r="X8" s="54"/>
      <c r="Y8" s="51">
        <f t="shared" si="0"/>
        <v>11</v>
      </c>
      <c r="Z8" s="47">
        <f>IF(P8=1,O8,W8)</f>
        <v>3</v>
      </c>
    </row>
    <row r="9" spans="3:26" ht="14.25" customHeight="1" thickBot="1">
      <c r="C9" s="385"/>
      <c r="D9" s="175">
        <v>6</v>
      </c>
      <c r="E9" s="63" t="str">
        <f>IF('Jmený seznam'!D10,'Jmený seznam'!E10)</f>
        <v>Česenek Jan</v>
      </c>
      <c r="F9" s="62" t="s">
        <v>26</v>
      </c>
      <c r="G9" s="264">
        <f>IF(RZ!$BA$52=8,"",IF(RZ!G9,RZ!AY9))</f>
        <v>8</v>
      </c>
      <c r="H9" s="62">
        <f>IF(LRU!$AZ$53=0,"",IF(LRU!E10,LRU!AW10))</f>
        <v>6</v>
      </c>
      <c r="I9" s="264">
        <f>IF(RT!$Z$53=8,"",IF(RT!F10,RT!X10))</f>
        <v>8</v>
      </c>
      <c r="J9" s="64"/>
      <c r="K9" s="64"/>
      <c r="L9" s="64">
        <f>Y9</f>
        <v>22</v>
      </c>
      <c r="M9" s="65"/>
      <c r="N9" s="65"/>
      <c r="O9" s="65"/>
      <c r="P9" s="249"/>
      <c r="Q9" s="65">
        <f>RANK(L9,$L$4:$L$51,1)</f>
        <v>8</v>
      </c>
      <c r="R9" s="65">
        <f>COUNTIF($Q$4:$Q$51,Q9)</f>
        <v>1</v>
      </c>
      <c r="S9" s="245"/>
      <c r="T9" s="245"/>
      <c r="U9" s="245">
        <f>L9+(G9/100000)</f>
        <v>22.00008</v>
      </c>
      <c r="V9" s="65"/>
      <c r="W9" s="65"/>
      <c r="X9" s="65">
        <f>RANK(U9,$U$4:$U$51,1)</f>
        <v>8</v>
      </c>
      <c r="Y9" s="62">
        <f t="shared" si="0"/>
        <v>22</v>
      </c>
      <c r="Z9" s="48">
        <f>IF(R9=1,Q9,X9)</f>
        <v>8</v>
      </c>
    </row>
    <row r="10" spans="3:26" ht="15" customHeight="1">
      <c r="C10" s="386" t="str">
        <f>IF('Jmený seznam'!D11,'Jmený seznam'!C11)</f>
        <v>Moravskoslezský</v>
      </c>
      <c r="D10" s="173">
        <v>7</v>
      </c>
      <c r="E10" s="57" t="str">
        <f>IF('Jmený seznam'!D11,'Jmený seznam'!E11)</f>
        <v>Dresler Dominik</v>
      </c>
      <c r="F10" s="56" t="s">
        <v>20</v>
      </c>
      <c r="G10" s="251">
        <f>IF(RZ!$BA$52=8,"",IF(RZ!G10,RZ!AY10))</f>
        <v>1</v>
      </c>
      <c r="H10" s="56">
        <f>IF(LRU!$AZ$53=0,"",IF(LRU!E11,LRU!AW11))</f>
        <v>5</v>
      </c>
      <c r="I10" s="251">
        <f>IF(RT!$Z$53=8,"",IF(RT!F11,RT!X11))</f>
        <v>9</v>
      </c>
      <c r="J10" s="58">
        <f>Y10</f>
        <v>15</v>
      </c>
      <c r="K10" s="58"/>
      <c r="L10" s="58"/>
      <c r="M10" s="113">
        <f>RANK(J10,$J$4:$J$51,1)</f>
        <v>3</v>
      </c>
      <c r="N10" s="113">
        <f>COUNTIF($M$4:$M$51,M10)</f>
        <v>1</v>
      </c>
      <c r="O10" s="59"/>
      <c r="P10" s="113"/>
      <c r="Q10" s="59"/>
      <c r="R10" s="59"/>
      <c r="S10" s="242">
        <f>J10+(G10/100000)</f>
        <v>15.00001</v>
      </c>
      <c r="T10" s="243"/>
      <c r="U10" s="243"/>
      <c r="V10" s="113">
        <f>RANK(S10,$S$4:$S$51,1)</f>
        <v>3</v>
      </c>
      <c r="W10" s="59"/>
      <c r="X10" s="59"/>
      <c r="Y10" s="56">
        <f t="shared" si="0"/>
        <v>15</v>
      </c>
      <c r="Z10" s="248">
        <f aca="true" t="shared" si="1" ref="Z10:Z49">IF(N10=1,M10,V10)</f>
        <v>3</v>
      </c>
    </row>
    <row r="11" spans="3:26" ht="14.25" customHeight="1">
      <c r="C11" s="357"/>
      <c r="D11" s="174">
        <v>8</v>
      </c>
      <c r="E11" s="52" t="str">
        <f>IF('Jmený seznam'!D12,'Jmený seznam'!E12)</f>
        <v>Bernatík Tomáš</v>
      </c>
      <c r="F11" s="51" t="s">
        <v>20</v>
      </c>
      <c r="G11" s="51">
        <f>IF(RZ!$BA$52=8,"",IF(RZ!G11,RZ!AY11))</f>
        <v>10</v>
      </c>
      <c r="H11" s="51">
        <f>IF(LRU!$AZ$53=0,"",IF(LRU!E12,LRU!AW12))</f>
        <v>19</v>
      </c>
      <c r="I11" s="51">
        <f>IF(RT!$Z$53=8,"",IF(RT!F12,RT!X12))</f>
        <v>5</v>
      </c>
      <c r="J11" s="53">
        <f>Y11</f>
        <v>34</v>
      </c>
      <c r="K11" s="53"/>
      <c r="L11" s="53"/>
      <c r="M11" s="54">
        <f>RANK(J11,$J$4:$J$51,1)</f>
        <v>10</v>
      </c>
      <c r="N11" s="54">
        <f>COUNTIF($M$4:$M$51,M11)</f>
        <v>1</v>
      </c>
      <c r="O11" s="54"/>
      <c r="P11" s="54"/>
      <c r="Q11" s="54"/>
      <c r="R11" s="54"/>
      <c r="S11" s="244">
        <f>J11+(G11/100000)</f>
        <v>34.0001</v>
      </c>
      <c r="T11" s="244"/>
      <c r="U11" s="244"/>
      <c r="V11" s="54">
        <f>RANK(S11,$S$4:$S$51,1)</f>
        <v>10</v>
      </c>
      <c r="W11" s="54"/>
      <c r="X11" s="54"/>
      <c r="Y11" s="51">
        <f t="shared" si="0"/>
        <v>34</v>
      </c>
      <c r="Z11" s="47">
        <f t="shared" si="1"/>
        <v>10</v>
      </c>
    </row>
    <row r="12" spans="3:26" ht="14.25" customHeight="1">
      <c r="C12" s="357"/>
      <c r="D12" s="174">
        <v>9</v>
      </c>
      <c r="E12" s="52" t="str">
        <f>IF('Jmený seznam'!D13,'Jmený seznam'!E13)</f>
        <v>Wróblová Taťána</v>
      </c>
      <c r="F12" s="51" t="s">
        <v>20</v>
      </c>
      <c r="G12" s="51">
        <f>IF(RZ!$BA$52=8,"",IF(RZ!G12,RZ!AY12))</f>
        <v>6</v>
      </c>
      <c r="H12" s="51">
        <f>IF(LRU!$AZ$53=0,"",IF(LRU!E13,LRU!AW13))</f>
        <v>22</v>
      </c>
      <c r="I12" s="51">
        <f>IF(RT!$Z$53=8,"",IF(RT!F13,RT!X13))</f>
        <v>12</v>
      </c>
      <c r="J12" s="53">
        <f>Y12</f>
        <v>40</v>
      </c>
      <c r="K12" s="53"/>
      <c r="L12" s="53"/>
      <c r="M12" s="54">
        <f>RANK(J12,$J$4:$J$51,1)</f>
        <v>11</v>
      </c>
      <c r="N12" s="54">
        <f>COUNTIF($M$4:$M$51,M12)</f>
        <v>1</v>
      </c>
      <c r="O12" s="54"/>
      <c r="P12" s="54"/>
      <c r="Q12" s="54"/>
      <c r="R12" s="54"/>
      <c r="S12" s="244">
        <f>J12+(G12/100000)</f>
        <v>40.00006</v>
      </c>
      <c r="T12" s="244"/>
      <c r="U12" s="244"/>
      <c r="V12" s="54">
        <f>RANK(S12,$S$4:$S$51,1)</f>
        <v>11</v>
      </c>
      <c r="W12" s="54"/>
      <c r="X12" s="54"/>
      <c r="Y12" s="51">
        <f t="shared" si="0"/>
        <v>40</v>
      </c>
      <c r="Z12" s="47">
        <f t="shared" si="1"/>
        <v>11</v>
      </c>
    </row>
    <row r="13" spans="3:26" ht="14.25" customHeight="1">
      <c r="C13" s="357"/>
      <c r="D13" s="174">
        <v>10</v>
      </c>
      <c r="E13" s="52" t="str">
        <f>IF('Jmený seznam'!D14,'Jmený seznam'!E14)</f>
        <v>Zemánková Johanka</v>
      </c>
      <c r="F13" s="51" t="s">
        <v>20</v>
      </c>
      <c r="G13" s="51">
        <f>IF(RZ!$BA$52=8,"",IF(RZ!G13,RZ!AY13))</f>
        <v>2</v>
      </c>
      <c r="H13" s="51">
        <f>IF(LRU!$AZ$53=0,"",IF(LRU!E14,LRU!AW14))</f>
        <v>6</v>
      </c>
      <c r="I13" s="51">
        <f>IF(RT!$Z$53=8,"",IF(RT!F14,RT!X14))</f>
        <v>16</v>
      </c>
      <c r="J13" s="53">
        <f>Y13</f>
        <v>24</v>
      </c>
      <c r="K13" s="53"/>
      <c r="L13" s="53"/>
      <c r="M13" s="54">
        <f>RANK(J13,$J$4:$J$51,1)</f>
        <v>4</v>
      </c>
      <c r="N13" s="54">
        <f>COUNTIF($M$4:$M$51,M13)</f>
        <v>1</v>
      </c>
      <c r="O13" s="54"/>
      <c r="P13" s="54"/>
      <c r="Q13" s="54"/>
      <c r="R13" s="54"/>
      <c r="S13" s="244">
        <f>J13+(G13/100000)</f>
        <v>24.00002</v>
      </c>
      <c r="T13" s="244"/>
      <c r="U13" s="244"/>
      <c r="V13" s="54">
        <f>RANK(S13,$S$4:$S$51,1)</f>
        <v>4</v>
      </c>
      <c r="W13" s="54"/>
      <c r="X13" s="54"/>
      <c r="Y13" s="51">
        <f t="shared" si="0"/>
        <v>24</v>
      </c>
      <c r="Z13" s="124">
        <f t="shared" si="1"/>
        <v>4</v>
      </c>
    </row>
    <row r="14" spans="3:26" ht="14.25" customHeight="1">
      <c r="C14" s="357"/>
      <c r="D14" s="174">
        <v>11</v>
      </c>
      <c r="E14" s="52" t="str">
        <f>IF('Jmený seznam'!D15,'Jmený seznam'!E15)</f>
        <v>Kepáková Natálie</v>
      </c>
      <c r="F14" s="51" t="s">
        <v>24</v>
      </c>
      <c r="G14" s="51">
        <f>IF(RZ!$BA$52=8,"",IF(RZ!G14,RZ!AY14))</f>
        <v>3</v>
      </c>
      <c r="H14" s="51">
        <f>IF(LRU!$AZ$53=0,"",IF(LRU!E15,LRU!AW15))</f>
        <v>1</v>
      </c>
      <c r="I14" s="51">
        <f>IF(RT!$Z$53=8,"",IF(RT!F15,RT!X15))</f>
        <v>2</v>
      </c>
      <c r="J14" s="53"/>
      <c r="K14" s="53">
        <f>Y14</f>
        <v>6</v>
      </c>
      <c r="L14" s="53"/>
      <c r="M14" s="54"/>
      <c r="N14" s="54"/>
      <c r="O14" s="54">
        <f>RANK(K14,$K$4:$K$51,1)</f>
        <v>1</v>
      </c>
      <c r="P14" s="54">
        <f>COUNTIF($O$4:$O$51,O14)</f>
        <v>1</v>
      </c>
      <c r="Q14" s="54"/>
      <c r="R14" s="54"/>
      <c r="S14" s="244"/>
      <c r="T14" s="244">
        <f>K14+(G14/100000)</f>
        <v>6.00003</v>
      </c>
      <c r="U14" s="244"/>
      <c r="V14" s="54"/>
      <c r="W14" s="54">
        <f>RANK(T14,$T$4:$T$51,1)</f>
        <v>1</v>
      </c>
      <c r="X14" s="54"/>
      <c r="Y14" s="51">
        <f t="shared" si="0"/>
        <v>6</v>
      </c>
      <c r="Z14" s="47">
        <f>IF(P14=1,O14,W14)</f>
        <v>1</v>
      </c>
    </row>
    <row r="15" spans="3:26" ht="14.25" customHeight="1" thickBot="1">
      <c r="C15" s="387"/>
      <c r="D15" s="176">
        <v>12</v>
      </c>
      <c r="E15" s="75" t="str">
        <f>IF('Jmený seznam'!D16,'Jmený seznam'!E16)</f>
        <v>Tichý Štefan</v>
      </c>
      <c r="F15" s="74" t="s">
        <v>26</v>
      </c>
      <c r="G15" s="252">
        <f>IF(RZ!$BA$52=8,"",IF(RZ!G15,RZ!AY15))</f>
        <v>3</v>
      </c>
      <c r="H15" s="62">
        <f>IF(LRU!$AZ$53=0,"",IF(LRU!E16,LRU!AW16))</f>
        <v>2</v>
      </c>
      <c r="I15" s="252">
        <f>IF(RT!$Z$53=8,"",IF(RT!F16,RT!X16))</f>
        <v>3</v>
      </c>
      <c r="J15" s="76"/>
      <c r="K15" s="76"/>
      <c r="L15" s="76">
        <f>Y15</f>
        <v>8</v>
      </c>
      <c r="M15" s="65"/>
      <c r="N15" s="77"/>
      <c r="O15" s="65"/>
      <c r="P15" s="241"/>
      <c r="Q15" s="65">
        <f>RANK(L15,$L$4:$L$51,1)</f>
        <v>1</v>
      </c>
      <c r="R15" s="77">
        <f>COUNTIF($Q$4:$Q$51,Q15)</f>
        <v>1</v>
      </c>
      <c r="S15" s="245"/>
      <c r="T15" s="245"/>
      <c r="U15" s="245">
        <f>L15+(G15/100000)</f>
        <v>8.00003</v>
      </c>
      <c r="V15" s="65"/>
      <c r="W15" s="65"/>
      <c r="X15" s="65">
        <f>RANK(U15,$U$4:$U$51,1)</f>
        <v>1</v>
      </c>
      <c r="Y15" s="74">
        <f t="shared" si="0"/>
        <v>8</v>
      </c>
      <c r="Z15" s="48">
        <f>IF(R15=1,Q15,X15)</f>
        <v>1</v>
      </c>
    </row>
    <row r="16" spans="3:26" ht="15" customHeight="1">
      <c r="C16" s="356" t="str">
        <f>IF('Jmený seznam'!D17,'Jmený seznam'!C17)</f>
        <v>Západočeský</v>
      </c>
      <c r="D16" s="173">
        <v>13</v>
      </c>
      <c r="E16" s="57" t="str">
        <f>IF('Jmený seznam'!D17,'Jmený seznam'!E17)</f>
        <v>Schleiss Jakub</v>
      </c>
      <c r="F16" s="56" t="s">
        <v>20</v>
      </c>
      <c r="G16" s="251">
        <f>IF(RZ!$BA$52=8,"",IF(RZ!G16,RZ!AY16))</f>
        <v>11</v>
      </c>
      <c r="H16" s="56">
        <f>IF(LRU!$AZ$53=0,"",IF(LRU!E17,LRU!AW17))</f>
        <v>12</v>
      </c>
      <c r="I16" s="251">
        <f>IF(RT!$Z$53=8,"",IF(RT!F17,RT!X17))</f>
        <v>7</v>
      </c>
      <c r="J16" s="58">
        <f>Y16</f>
        <v>30</v>
      </c>
      <c r="K16" s="58"/>
      <c r="L16" s="58"/>
      <c r="M16" s="113">
        <f>RANK(J16,$J$4:$J$51,1)</f>
        <v>9</v>
      </c>
      <c r="N16" s="113">
        <f>COUNTIF($M$4:$M$51,M16)</f>
        <v>1</v>
      </c>
      <c r="O16" s="59"/>
      <c r="P16" s="113"/>
      <c r="Q16" s="59"/>
      <c r="R16" s="59"/>
      <c r="S16" s="242">
        <f>J16+(G16/100000)</f>
        <v>30.00011</v>
      </c>
      <c r="T16" s="243"/>
      <c r="U16" s="243"/>
      <c r="V16" s="113">
        <f>RANK(S16,$S$4:$S$51,1)</f>
        <v>9</v>
      </c>
      <c r="W16" s="59"/>
      <c r="X16" s="59"/>
      <c r="Y16" s="56">
        <f t="shared" si="0"/>
        <v>30</v>
      </c>
      <c r="Z16" s="248">
        <f>IF(N16=1,M16,V16)</f>
        <v>9</v>
      </c>
    </row>
    <row r="17" spans="3:26" ht="14.25" customHeight="1">
      <c r="C17" s="357"/>
      <c r="D17" s="174">
        <v>14</v>
      </c>
      <c r="E17" s="52" t="str">
        <f>IF('Jmený seznam'!D18,'Jmený seznam'!E18)</f>
        <v>Schleiss Stanislav</v>
      </c>
      <c r="F17" s="51" t="s">
        <v>20</v>
      </c>
      <c r="G17" s="51">
        <f>IF(RZ!$BA$52=8,"",IF(RZ!G17,RZ!AY17))</f>
        <v>3</v>
      </c>
      <c r="H17" s="51">
        <f>IF(LRU!$AZ$53=0,"",IF(LRU!E18,LRU!AW18))</f>
        <v>3</v>
      </c>
      <c r="I17" s="51">
        <f>IF(RT!$Z$53=8,"",IF(RT!F18,RT!X18))</f>
        <v>6</v>
      </c>
      <c r="J17" s="53">
        <f>Y17</f>
        <v>12</v>
      </c>
      <c r="K17" s="53"/>
      <c r="L17" s="53"/>
      <c r="M17" s="54">
        <f>RANK(J17,$J$4:$J$51,1)</f>
        <v>1</v>
      </c>
      <c r="N17" s="54">
        <f>COUNTIF($M$4:$M$51,M17)</f>
        <v>1</v>
      </c>
      <c r="O17" s="54"/>
      <c r="P17" s="54"/>
      <c r="Q17" s="54"/>
      <c r="R17" s="54"/>
      <c r="S17" s="244">
        <f>J17+(G17/100000)</f>
        <v>12.00003</v>
      </c>
      <c r="T17" s="244"/>
      <c r="U17" s="244"/>
      <c r="V17" s="54">
        <f>RANK(S17,$S$4:$S$51,1)</f>
        <v>1</v>
      </c>
      <c r="W17" s="54"/>
      <c r="X17" s="54"/>
      <c r="Y17" s="51">
        <f t="shared" si="0"/>
        <v>12</v>
      </c>
      <c r="Z17" s="47">
        <f t="shared" si="1"/>
        <v>1</v>
      </c>
    </row>
    <row r="18" spans="3:26" ht="14.25" customHeight="1">
      <c r="C18" s="357"/>
      <c r="D18" s="174">
        <v>15</v>
      </c>
      <c r="E18" s="52" t="str">
        <f>IF('Jmený seznam'!D19,'Jmený seznam'!E19)</f>
        <v>Vejvančický Matěj</v>
      </c>
      <c r="F18" s="51" t="s">
        <v>20</v>
      </c>
      <c r="G18" s="51">
        <f>IF(RZ!$BA$52=8,"",IF(RZ!G18,RZ!AY18))</f>
        <v>7</v>
      </c>
      <c r="H18" s="51">
        <f>IF(LRU!$AZ$53=0,"",IF(LRU!E19,LRU!AW19))</f>
        <v>1</v>
      </c>
      <c r="I18" s="51">
        <f>IF(RT!$Z$53=8,"",IF(RT!F19,RT!X19))</f>
        <v>21</v>
      </c>
      <c r="J18" s="53">
        <f>Y18</f>
        <v>29</v>
      </c>
      <c r="K18" s="53"/>
      <c r="L18" s="53"/>
      <c r="M18" s="54">
        <f>RANK(J18,$J$4:$J$51,1)</f>
        <v>8</v>
      </c>
      <c r="N18" s="54">
        <f>COUNTIF($M$4:$M$51,M18)</f>
        <v>1</v>
      </c>
      <c r="O18" s="54"/>
      <c r="P18" s="54"/>
      <c r="Q18" s="54"/>
      <c r="R18" s="54"/>
      <c r="S18" s="244">
        <f>J18+(G18/100000)</f>
        <v>29.00007</v>
      </c>
      <c r="T18" s="244"/>
      <c r="U18" s="244"/>
      <c r="V18" s="54">
        <f>RANK(S18,$S$4:$S$51,1)</f>
        <v>8</v>
      </c>
      <c r="W18" s="54"/>
      <c r="X18" s="54"/>
      <c r="Y18" s="51">
        <f t="shared" si="0"/>
        <v>29</v>
      </c>
      <c r="Z18" s="47">
        <f t="shared" si="1"/>
        <v>8</v>
      </c>
    </row>
    <row r="19" spans="3:26" ht="14.25" customHeight="1">
      <c r="C19" s="357"/>
      <c r="D19" s="174">
        <v>16</v>
      </c>
      <c r="E19" s="52" t="str">
        <f>IF('Jmený seznam'!D20,'Jmený seznam'!E20)</f>
        <v>Havránek David</v>
      </c>
      <c r="F19" s="51" t="s">
        <v>20</v>
      </c>
      <c r="G19" s="51">
        <f>IF(RZ!$BA$52=8,"",IF(RZ!G19,RZ!AY19))</f>
        <v>5</v>
      </c>
      <c r="H19" s="51">
        <f>IF(LRU!$AZ$53=0,"",IF(LRU!E20,LRU!AW20))</f>
        <v>11</v>
      </c>
      <c r="I19" s="51">
        <f>IF(RT!$Z$53=8,"",IF(RT!F20,RT!X20))</f>
        <v>10</v>
      </c>
      <c r="J19" s="53">
        <f>Y19</f>
        <v>26</v>
      </c>
      <c r="K19" s="53"/>
      <c r="L19" s="53"/>
      <c r="M19" s="54">
        <f>RANK(J19,$J$4:$J$51,1)</f>
        <v>5</v>
      </c>
      <c r="N19" s="54">
        <f>COUNTIF($M$4:$M$51,M19)</f>
        <v>1</v>
      </c>
      <c r="O19" s="54"/>
      <c r="P19" s="54"/>
      <c r="Q19" s="54"/>
      <c r="R19" s="54"/>
      <c r="S19" s="244">
        <f>J19+(G19/100000)</f>
        <v>26.00005</v>
      </c>
      <c r="T19" s="244"/>
      <c r="U19" s="244"/>
      <c r="V19" s="54">
        <f>RANK(S19,$S$4:$S$51,1)</f>
        <v>5</v>
      </c>
      <c r="W19" s="54"/>
      <c r="X19" s="54"/>
      <c r="Y19" s="51">
        <f t="shared" si="0"/>
        <v>26</v>
      </c>
      <c r="Z19" s="124">
        <f t="shared" si="1"/>
        <v>5</v>
      </c>
    </row>
    <row r="20" spans="3:26" ht="14.25" customHeight="1">
      <c r="C20" s="357"/>
      <c r="D20" s="174">
        <v>17</v>
      </c>
      <c r="E20" s="52" t="str">
        <f>IF('Jmený seznam'!D21,'Jmený seznam'!E21)</f>
        <v>Hynčíková Nina</v>
      </c>
      <c r="F20" s="51" t="s">
        <v>24</v>
      </c>
      <c r="G20" s="51">
        <f>IF(RZ!$BA$52=8,"",IF(RZ!G20,RZ!AY20))</f>
        <v>7</v>
      </c>
      <c r="H20" s="51">
        <f>IF(LRU!$AZ$53=0,"",IF(LRU!E21,LRU!AW21))</f>
        <v>2</v>
      </c>
      <c r="I20" s="51">
        <f>IF(RT!$Z$53=8,"",IF(RT!F21,RT!X21))</f>
        <v>3</v>
      </c>
      <c r="J20" s="53"/>
      <c r="K20" s="53">
        <f>Y20</f>
        <v>12</v>
      </c>
      <c r="L20" s="53"/>
      <c r="M20" s="54"/>
      <c r="N20" s="54"/>
      <c r="O20" s="54">
        <f>RANK(K20,$K$4:$K$51,1)</f>
        <v>4</v>
      </c>
      <c r="P20" s="54">
        <f>COUNTIF($O$4:$O$51,O20)</f>
        <v>1</v>
      </c>
      <c r="Q20" s="54"/>
      <c r="R20" s="54"/>
      <c r="S20" s="244"/>
      <c r="T20" s="244">
        <f>K20+(G20/100000)</f>
        <v>12.00007</v>
      </c>
      <c r="U20" s="244"/>
      <c r="V20" s="54"/>
      <c r="W20" s="54">
        <f>RANK(T20,$T$4:$T$51,1)</f>
        <v>4</v>
      </c>
      <c r="X20" s="54"/>
      <c r="Y20" s="51">
        <f t="shared" si="0"/>
        <v>12</v>
      </c>
      <c r="Z20" s="47">
        <f>IF(P20=1,O20,W20)</f>
        <v>4</v>
      </c>
    </row>
    <row r="21" spans="3:26" ht="14.25" customHeight="1" thickBot="1">
      <c r="C21" s="387"/>
      <c r="D21" s="176">
        <v>18</v>
      </c>
      <c r="E21" s="75" t="str">
        <f>IF('Jmený seznam'!D22,'Jmený seznam'!E22)</f>
        <v>Holub Ondřej</v>
      </c>
      <c r="F21" s="74" t="s">
        <v>26</v>
      </c>
      <c r="G21" s="252">
        <f>IF(RZ!$BA$52=8,"",IF(RZ!G21,RZ!AY21))</f>
        <v>7</v>
      </c>
      <c r="H21" s="62">
        <f>IF(LRU!$AZ$53=0,"",IF(LRU!E22,LRU!AW22))</f>
        <v>3</v>
      </c>
      <c r="I21" s="252">
        <f>IF(RT!$Z$53=8,"",IF(RT!F22,RT!X22))</f>
        <v>4</v>
      </c>
      <c r="J21" s="76"/>
      <c r="K21" s="76"/>
      <c r="L21" s="76">
        <f>Y21</f>
        <v>14</v>
      </c>
      <c r="M21" s="65"/>
      <c r="N21" s="77"/>
      <c r="O21" s="65"/>
      <c r="P21" s="241"/>
      <c r="Q21" s="65">
        <f>RANK(L21,$L$4:$L$51,1)</f>
        <v>5</v>
      </c>
      <c r="R21" s="77">
        <f>COUNTIF($Q$4:$Q$51,Q21)</f>
        <v>2</v>
      </c>
      <c r="S21" s="245"/>
      <c r="T21" s="245"/>
      <c r="U21" s="245">
        <f>L21+(G21/100000)</f>
        <v>14.00007</v>
      </c>
      <c r="V21" s="65"/>
      <c r="W21" s="65"/>
      <c r="X21" s="65">
        <f>RANK(U21,$U$4:$U$51,1)</f>
        <v>6</v>
      </c>
      <c r="Y21" s="74">
        <f t="shared" si="0"/>
        <v>14</v>
      </c>
      <c r="Z21" s="48">
        <f>IF(R21=1,Q21,X21)</f>
        <v>6</v>
      </c>
    </row>
    <row r="22" spans="3:26" ht="15" customHeight="1">
      <c r="C22" s="356" t="str">
        <f>IF('Jmený seznam'!D23,'Jmený seznam'!C23)</f>
        <v>MRS Brno</v>
      </c>
      <c r="D22" s="173">
        <v>19</v>
      </c>
      <c r="E22" s="57" t="str">
        <f>IF('Jmený seznam'!D23,'Jmený seznam'!E23)</f>
        <v>Honzírek Ondřej</v>
      </c>
      <c r="F22" s="56" t="s">
        <v>20</v>
      </c>
      <c r="G22" s="251">
        <f>IF(RZ!$BA$52=8,"",IF(RZ!G22,RZ!AY22))</f>
        <v>11</v>
      </c>
      <c r="H22" s="56">
        <f>IF(LRU!$AZ$53=0,"",IF(LRU!E23,LRU!AW23))</f>
        <v>15</v>
      </c>
      <c r="I22" s="251">
        <f>IF(RT!$Z$53=8,"",IF(RT!F23,RT!X23))</f>
        <v>2</v>
      </c>
      <c r="J22" s="58">
        <f>Y22</f>
        <v>28</v>
      </c>
      <c r="K22" s="58"/>
      <c r="L22" s="58"/>
      <c r="M22" s="113">
        <f>RANK(J22,$J$4:$J$51,1)</f>
        <v>7</v>
      </c>
      <c r="N22" s="113">
        <f>COUNTIF($M$4:$M$51,M22)</f>
        <v>1</v>
      </c>
      <c r="O22" s="59"/>
      <c r="P22" s="113"/>
      <c r="Q22" s="59"/>
      <c r="R22" s="59"/>
      <c r="S22" s="242">
        <f>J22+(G22/100000)</f>
        <v>28.00011</v>
      </c>
      <c r="T22" s="243"/>
      <c r="U22" s="243"/>
      <c r="V22" s="113">
        <f>RANK(S22,$S$4:$S$51,1)</f>
        <v>7</v>
      </c>
      <c r="W22" s="59"/>
      <c r="X22" s="59"/>
      <c r="Y22" s="56">
        <f t="shared" si="0"/>
        <v>28</v>
      </c>
      <c r="Z22" s="248">
        <f>IF(N22=1,M22,V22)</f>
        <v>7</v>
      </c>
    </row>
    <row r="23" spans="3:26" ht="14.25" customHeight="1">
      <c r="C23" s="357"/>
      <c r="D23" s="174">
        <v>20</v>
      </c>
      <c r="E23" s="52" t="str">
        <f>IF('Jmený seznam'!D24,'Jmený seznam'!E24)</f>
        <v>Bombera Jan</v>
      </c>
      <c r="F23" s="51" t="s">
        <v>20</v>
      </c>
      <c r="G23" s="51">
        <f>IF(RZ!$BA$52=8,"",IF(RZ!G23,RZ!AY23))</f>
        <v>4</v>
      </c>
      <c r="H23" s="51">
        <f>IF(LRU!$AZ$53=0,"",IF(LRU!E24,LRU!AW24))</f>
        <v>7</v>
      </c>
      <c r="I23" s="51">
        <f>IF(RT!$Z$53=8,"",IF(RT!F24,RT!X24))</f>
        <v>3</v>
      </c>
      <c r="J23" s="53">
        <f>Y23</f>
        <v>14</v>
      </c>
      <c r="K23" s="53"/>
      <c r="L23" s="53"/>
      <c r="M23" s="54">
        <f>RANK(J23,$J$4:$J$51,1)</f>
        <v>2</v>
      </c>
      <c r="N23" s="54">
        <f>COUNTIF($M$4:$M$51,M23)</f>
        <v>1</v>
      </c>
      <c r="O23" s="54"/>
      <c r="P23" s="54"/>
      <c r="Q23" s="54"/>
      <c r="R23" s="54"/>
      <c r="S23" s="244">
        <f>J23+(G23/100000)</f>
        <v>14.00004</v>
      </c>
      <c r="T23" s="244"/>
      <c r="U23" s="244"/>
      <c r="V23" s="54">
        <f>RANK(S23,$S$4:$S$51,1)</f>
        <v>2</v>
      </c>
      <c r="W23" s="54"/>
      <c r="X23" s="54"/>
      <c r="Y23" s="51">
        <f t="shared" si="0"/>
        <v>14</v>
      </c>
      <c r="Z23" s="47">
        <f t="shared" si="1"/>
        <v>2</v>
      </c>
    </row>
    <row r="24" spans="3:26" ht="14.25" customHeight="1">
      <c r="C24" s="357"/>
      <c r="D24" s="174">
        <v>21</v>
      </c>
      <c r="E24" s="52" t="str">
        <f>IF('Jmený seznam'!D25,'Jmený seznam'!E25)</f>
        <v>Traj Robert</v>
      </c>
      <c r="F24" s="51" t="s">
        <v>20</v>
      </c>
      <c r="G24" s="51">
        <f>IF(RZ!$BA$52=8,"",IF(RZ!G24,RZ!AY24))</f>
        <v>9</v>
      </c>
      <c r="H24" s="51">
        <f>IF(LRU!$AZ$53=0,"",IF(LRU!E25,LRU!AW25))</f>
        <v>17</v>
      </c>
      <c r="I24" s="51">
        <f>IF(RT!$Z$53=8,"",IF(RT!F25,RT!X25))</f>
        <v>1</v>
      </c>
      <c r="J24" s="53">
        <f>Y24</f>
        <v>27</v>
      </c>
      <c r="K24" s="53"/>
      <c r="L24" s="53"/>
      <c r="M24" s="54">
        <f>RANK(J24,$J$4:$J$51,1)</f>
        <v>6</v>
      </c>
      <c r="N24" s="54">
        <f>COUNTIF($M$4:$M$51,M24)</f>
        <v>1</v>
      </c>
      <c r="O24" s="54"/>
      <c r="P24" s="54"/>
      <c r="Q24" s="54"/>
      <c r="R24" s="54"/>
      <c r="S24" s="244">
        <f>J24+(G24/100000)</f>
        <v>27.00009</v>
      </c>
      <c r="T24" s="244"/>
      <c r="U24" s="244"/>
      <c r="V24" s="54">
        <f>RANK(S24,$S$4:$S$51,1)</f>
        <v>6</v>
      </c>
      <c r="W24" s="54"/>
      <c r="X24" s="54"/>
      <c r="Y24" s="51">
        <f t="shared" si="0"/>
        <v>27</v>
      </c>
      <c r="Z24" s="47">
        <f t="shared" si="1"/>
        <v>6</v>
      </c>
    </row>
    <row r="25" spans="3:26" ht="14.25" customHeight="1">
      <c r="C25" s="357"/>
      <c r="D25" s="174">
        <v>22</v>
      </c>
      <c r="E25" s="52" t="str">
        <f>IF('Jmený seznam'!D26,'Jmený seznam'!E26)</f>
        <v>Juříček Jakub</v>
      </c>
      <c r="F25" s="51" t="s">
        <v>20</v>
      </c>
      <c r="G25" s="51">
        <f>IF(RZ!$BA$52=8,"",IF(RZ!G25,RZ!AY25))</f>
        <v>15</v>
      </c>
      <c r="H25" s="51">
        <f>IF(LRU!$AZ$53=0,"",IF(LRU!E26,LRU!AW26))</f>
        <v>10</v>
      </c>
      <c r="I25" s="51">
        <f>IF(RT!$Z$53=8,"",IF(RT!F26,RT!X26))</f>
        <v>17</v>
      </c>
      <c r="J25" s="53">
        <f>Y25</f>
        <v>42</v>
      </c>
      <c r="K25" s="53"/>
      <c r="L25" s="53"/>
      <c r="M25" s="54">
        <f>RANK(J25,$J$4:$J$51,1)</f>
        <v>13</v>
      </c>
      <c r="N25" s="54">
        <f>COUNTIF($M$4:$M$51,M25)</f>
        <v>2</v>
      </c>
      <c r="O25" s="54"/>
      <c r="P25" s="54"/>
      <c r="Q25" s="54"/>
      <c r="R25" s="54"/>
      <c r="S25" s="244">
        <f>J25+(G25/100000)</f>
        <v>42.00015</v>
      </c>
      <c r="T25" s="244"/>
      <c r="U25" s="244"/>
      <c r="V25" s="54">
        <f>RANK(S25,$S$4:$S$51,1)</f>
        <v>13</v>
      </c>
      <c r="W25" s="54"/>
      <c r="X25" s="54"/>
      <c r="Y25" s="51">
        <f t="shared" si="0"/>
        <v>42</v>
      </c>
      <c r="Z25" s="124">
        <f t="shared" si="1"/>
        <v>13</v>
      </c>
    </row>
    <row r="26" spans="3:26" ht="14.25" customHeight="1">
      <c r="C26" s="357"/>
      <c r="D26" s="174">
        <v>23</v>
      </c>
      <c r="E26" s="52" t="str">
        <f>IF('Jmený seznam'!D27,'Jmený seznam'!E27)</f>
        <v>Koblihová Kristýna</v>
      </c>
      <c r="F26" s="51" t="s">
        <v>24</v>
      </c>
      <c r="G26" s="51">
        <f>IF(RZ!$BA$52=8,"",IF(RZ!G26,RZ!AY26))</f>
        <v>2</v>
      </c>
      <c r="H26" s="51">
        <f>IF(LRU!$AZ$53=0,"",IF(LRU!E27,LRU!AW27))</f>
        <v>7</v>
      </c>
      <c r="I26" s="51">
        <f>IF(RT!$Z$53=8,"",IF(RT!F27,RT!X27))</f>
        <v>1</v>
      </c>
      <c r="J26" s="53"/>
      <c r="K26" s="53">
        <f>Y26</f>
        <v>10</v>
      </c>
      <c r="L26" s="53"/>
      <c r="M26" s="54"/>
      <c r="N26" s="54"/>
      <c r="O26" s="54">
        <f>RANK(K26,$K$4:$K$51,1)</f>
        <v>2</v>
      </c>
      <c r="P26" s="54">
        <f>COUNTIF($O$4:$O$51,O26)</f>
        <v>1</v>
      </c>
      <c r="Q26" s="54"/>
      <c r="R26" s="54"/>
      <c r="S26" s="244"/>
      <c r="T26" s="244">
        <f>K26+(G26/100000)</f>
        <v>10.00002</v>
      </c>
      <c r="U26" s="244"/>
      <c r="V26" s="54"/>
      <c r="W26" s="54">
        <f>RANK(T26,$T$4:$T$51,1)</f>
        <v>2</v>
      </c>
      <c r="X26" s="54"/>
      <c r="Y26" s="51">
        <f t="shared" si="0"/>
        <v>10</v>
      </c>
      <c r="Z26" s="47">
        <f>IF(P26=1,O26,W26)</f>
        <v>2</v>
      </c>
    </row>
    <row r="27" spans="3:26" ht="14.25" customHeight="1" thickBot="1">
      <c r="C27" s="387"/>
      <c r="D27" s="175">
        <v>24</v>
      </c>
      <c r="E27" s="63" t="str">
        <f>IF('Jmený seznam'!D28,'Jmený seznam'!E28)</f>
        <v>Zavadil Radek</v>
      </c>
      <c r="F27" s="62" t="s">
        <v>26</v>
      </c>
      <c r="G27" s="252">
        <f>IF(RZ!$BA$52=8,"",IF(RZ!G27,RZ!AY27))</f>
        <v>4</v>
      </c>
      <c r="H27" s="62">
        <f>IF(LRU!$AZ$53=0,"",IF(LRU!E28,LRU!AW28))</f>
        <v>5</v>
      </c>
      <c r="I27" s="252">
        <f>IF(RT!$Z$53=8,"",IF(RT!F28,RT!X28))</f>
        <v>1</v>
      </c>
      <c r="J27" s="76"/>
      <c r="K27" s="76"/>
      <c r="L27" s="76">
        <f>Y27</f>
        <v>10</v>
      </c>
      <c r="M27" s="65"/>
      <c r="N27" s="77"/>
      <c r="O27" s="65"/>
      <c r="P27" s="241"/>
      <c r="Q27" s="65">
        <f>RANK(L27,$L$4:$L$51,1)</f>
        <v>3</v>
      </c>
      <c r="R27" s="77">
        <f>COUNTIF($Q$4:$Q$51,Q27)</f>
        <v>1</v>
      </c>
      <c r="S27" s="245"/>
      <c r="T27" s="245"/>
      <c r="U27" s="245">
        <f>L27+(G27/100000)</f>
        <v>10.00004</v>
      </c>
      <c r="V27" s="65"/>
      <c r="W27" s="65"/>
      <c r="X27" s="65">
        <f>RANK(U27,$U$4:$U$51,1)</f>
        <v>3</v>
      </c>
      <c r="Y27" s="62">
        <f t="shared" si="0"/>
        <v>10</v>
      </c>
      <c r="Z27" s="48">
        <f>IF(R27=1,Q27,X27)</f>
        <v>3</v>
      </c>
    </row>
    <row r="28" spans="3:26" ht="14.25" customHeight="1">
      <c r="C28" s="374" t="str">
        <f>IF('Jmený seznam'!D29,'Jmený seznam'!C29)</f>
        <v>Východočeský</v>
      </c>
      <c r="D28" s="173">
        <v>25</v>
      </c>
      <c r="E28" s="57" t="str">
        <f>IF('Jmený seznam'!D29,'Jmený seznam'!E29)</f>
        <v>Hašek Marek</v>
      </c>
      <c r="F28" s="56" t="s">
        <v>20</v>
      </c>
      <c r="G28" s="251">
        <f>IF(RZ!$BA$52=8,"",IF(RZ!G28,RZ!AY28))</f>
        <v>25</v>
      </c>
      <c r="H28" s="56">
        <f>IF(LRU!$AZ$53=0,"",IF(LRU!E29,LRU!AW29))</f>
        <v>4</v>
      </c>
      <c r="I28" s="251">
        <f>IF(RT!$Z$53=8,"",IF(RT!F29,RT!X29))</f>
        <v>13</v>
      </c>
      <c r="J28" s="58">
        <f>Y28</f>
        <v>42</v>
      </c>
      <c r="K28" s="58"/>
      <c r="L28" s="58"/>
      <c r="M28" s="113">
        <f>RANK(J28,$J$4:$J$51,1)</f>
        <v>13</v>
      </c>
      <c r="N28" s="113">
        <f>COUNTIF($M$4:$M$51,M28)</f>
        <v>2</v>
      </c>
      <c r="O28" s="59"/>
      <c r="P28" s="113"/>
      <c r="Q28" s="59"/>
      <c r="R28" s="59"/>
      <c r="S28" s="242">
        <f>J28+(G28/100000)</f>
        <v>42.00025</v>
      </c>
      <c r="T28" s="243"/>
      <c r="U28" s="243"/>
      <c r="V28" s="113">
        <f>RANK(S28,$S$4:$S$51,1)</f>
        <v>14</v>
      </c>
      <c r="W28" s="59"/>
      <c r="X28" s="59"/>
      <c r="Y28" s="56">
        <f t="shared" si="0"/>
        <v>42</v>
      </c>
      <c r="Z28" s="248">
        <f>IF(N28=1,M28,V28)</f>
        <v>14</v>
      </c>
    </row>
    <row r="29" spans="3:26" ht="14.25" customHeight="1">
      <c r="C29" s="375"/>
      <c r="D29" s="174">
        <v>26</v>
      </c>
      <c r="E29" s="52" t="str">
        <f>IF('Jmený seznam'!D30,'Jmený seznam'!E30)</f>
        <v>Joneš Jan</v>
      </c>
      <c r="F29" s="51" t="s">
        <v>20</v>
      </c>
      <c r="G29" s="51">
        <f>IF(RZ!$BA$52=8,"",IF(RZ!G29,RZ!AY29))</f>
        <v>27</v>
      </c>
      <c r="H29" s="51">
        <f>IF(LRU!$AZ$53=0,"",IF(LRU!E30,LRU!AW30))</f>
        <v>14</v>
      </c>
      <c r="I29" s="51">
        <f>IF(RT!$Z$53=8,"",IF(RT!F30,RT!X30))</f>
        <v>22</v>
      </c>
      <c r="J29" s="53">
        <f>Y29</f>
        <v>63</v>
      </c>
      <c r="K29" s="53"/>
      <c r="L29" s="53"/>
      <c r="M29" s="54">
        <f>RANK(J29,$J$4:$J$51,1)</f>
        <v>23</v>
      </c>
      <c r="N29" s="54">
        <f>COUNTIF($M$4:$M$51,M29)</f>
        <v>1</v>
      </c>
      <c r="O29" s="54"/>
      <c r="P29" s="54"/>
      <c r="Q29" s="54"/>
      <c r="R29" s="54"/>
      <c r="S29" s="244">
        <f>J29+(G29/100000)</f>
        <v>63.00027</v>
      </c>
      <c r="T29" s="244"/>
      <c r="U29" s="244"/>
      <c r="V29" s="54">
        <f>RANK(S29,$S$4:$S$51,1)</f>
        <v>23</v>
      </c>
      <c r="W29" s="54"/>
      <c r="X29" s="54"/>
      <c r="Y29" s="51">
        <f t="shared" si="0"/>
        <v>63</v>
      </c>
      <c r="Z29" s="47">
        <f t="shared" si="1"/>
        <v>23</v>
      </c>
    </row>
    <row r="30" spans="3:26" ht="14.25" customHeight="1">
      <c r="C30" s="375"/>
      <c r="D30" s="174">
        <v>27</v>
      </c>
      <c r="E30" s="52" t="str">
        <f>IF('Jmený seznam'!D31,'Jmený seznam'!E31)</f>
        <v>Mencl Michal</v>
      </c>
      <c r="F30" s="51" t="s">
        <v>20</v>
      </c>
      <c r="G30" s="51">
        <f>IF(RZ!$BA$52=8,"",IF(RZ!G30,RZ!AY30))</f>
        <v>18</v>
      </c>
      <c r="H30" s="51">
        <f>IF(LRU!$AZ$53=0,"",IF(LRU!E31,LRU!AW31))</f>
        <v>8</v>
      </c>
      <c r="I30" s="51">
        <f>IF(RT!$Z$53=8,"",IF(RT!F31,RT!X31))</f>
        <v>25</v>
      </c>
      <c r="J30" s="53">
        <f>Y30</f>
        <v>51</v>
      </c>
      <c r="K30" s="53"/>
      <c r="L30" s="53"/>
      <c r="M30" s="54">
        <f>RANK(J30,$J$4:$J$51,1)</f>
        <v>16</v>
      </c>
      <c r="N30" s="54">
        <f>COUNTIF($M$4:$M$51,M30)</f>
        <v>1</v>
      </c>
      <c r="O30" s="54"/>
      <c r="P30" s="54"/>
      <c r="Q30" s="54"/>
      <c r="R30" s="54"/>
      <c r="S30" s="244">
        <f>J30+(G30/100000)</f>
        <v>51.00018</v>
      </c>
      <c r="T30" s="244"/>
      <c r="U30" s="244"/>
      <c r="V30" s="54">
        <f>RANK(S30,$S$4:$S$51,1)</f>
        <v>16</v>
      </c>
      <c r="W30" s="54"/>
      <c r="X30" s="54"/>
      <c r="Y30" s="51">
        <f t="shared" si="0"/>
        <v>51</v>
      </c>
      <c r="Z30" s="47">
        <f t="shared" si="1"/>
        <v>16</v>
      </c>
    </row>
    <row r="31" spans="3:26" ht="14.25" customHeight="1">
      <c r="C31" s="375"/>
      <c r="D31" s="174">
        <v>28</v>
      </c>
      <c r="E31" s="52" t="str">
        <f>IF('Jmený seznam'!D32,'Jmený seznam'!E32)</f>
        <v>Bastl Tomáš</v>
      </c>
      <c r="F31" s="51" t="s">
        <v>20</v>
      </c>
      <c r="G31" s="51">
        <f>IF(RZ!$BA$52=8,"",IF(RZ!G31,RZ!AY31))</f>
        <v>30</v>
      </c>
      <c r="H31" s="51">
        <f>IF(LRU!$AZ$53=0,"",IF(LRU!E32,LRU!AW32))</f>
        <v>2</v>
      </c>
      <c r="I31" s="51">
        <f>IF(RT!$Z$53=8,"",IF(RT!F32,RT!X32))</f>
        <v>20</v>
      </c>
      <c r="J31" s="53">
        <f>Y31</f>
        <v>52</v>
      </c>
      <c r="K31" s="53"/>
      <c r="L31" s="53"/>
      <c r="M31" s="54">
        <f>RANK(J31,$J$4:$J$51,1)</f>
        <v>17</v>
      </c>
      <c r="N31" s="54">
        <f>COUNTIF($M$4:$M$51,M31)</f>
        <v>1</v>
      </c>
      <c r="O31" s="54"/>
      <c r="P31" s="54"/>
      <c r="Q31" s="54"/>
      <c r="R31" s="54"/>
      <c r="S31" s="244">
        <f>J31+(G31/100000)</f>
        <v>52.0003</v>
      </c>
      <c r="T31" s="244"/>
      <c r="U31" s="244"/>
      <c r="V31" s="54">
        <f>RANK(S31,$S$4:$S$51,1)</f>
        <v>17</v>
      </c>
      <c r="W31" s="54"/>
      <c r="X31" s="54"/>
      <c r="Y31" s="51">
        <f t="shared" si="0"/>
        <v>52</v>
      </c>
      <c r="Z31" s="124">
        <f t="shared" si="1"/>
        <v>17</v>
      </c>
    </row>
    <row r="32" spans="3:26" ht="14.25" customHeight="1">
      <c r="C32" s="375"/>
      <c r="D32" s="174">
        <v>29</v>
      </c>
      <c r="E32" s="52" t="str">
        <f>IF('Jmený seznam'!D33,'Jmený seznam'!E33)</f>
        <v>Šimůnková Markéta</v>
      </c>
      <c r="F32" s="51" t="s">
        <v>24</v>
      </c>
      <c r="G32" s="51">
        <f>IF(RZ!$BA$52=8,"",IF(RZ!G32,RZ!AY32))</f>
        <v>4</v>
      </c>
      <c r="H32" s="51">
        <f>IF(LRU!$AZ$53=0,"",IF(LRU!E33,LRU!AW33))</f>
        <v>4</v>
      </c>
      <c r="I32" s="51">
        <f>IF(RT!$Z$53=8,"",IF(RT!F33,RT!X33))</f>
        <v>6</v>
      </c>
      <c r="J32" s="53"/>
      <c r="K32" s="53">
        <f>Y32</f>
        <v>14</v>
      </c>
      <c r="L32" s="53"/>
      <c r="M32" s="54"/>
      <c r="N32" s="54"/>
      <c r="O32" s="54">
        <f>RANK(K32,$K$4:$K$51,1)</f>
        <v>5</v>
      </c>
      <c r="P32" s="54">
        <f>COUNTIF($O$4:$O$51,O32)</f>
        <v>2</v>
      </c>
      <c r="Q32" s="54"/>
      <c r="R32" s="54"/>
      <c r="S32" s="244"/>
      <c r="T32" s="244">
        <f>K32+(G32/100000)</f>
        <v>14.00004</v>
      </c>
      <c r="U32" s="244"/>
      <c r="V32" s="54"/>
      <c r="W32" s="54">
        <f>RANK(T32,$T$4:$T$51,1)</f>
        <v>5</v>
      </c>
      <c r="X32" s="54"/>
      <c r="Y32" s="51">
        <f t="shared" si="0"/>
        <v>14</v>
      </c>
      <c r="Z32" s="47">
        <f>IF(P32=1,O32,W32)</f>
        <v>5</v>
      </c>
    </row>
    <row r="33" spans="3:26" ht="14.25" customHeight="1" thickBot="1">
      <c r="C33" s="385"/>
      <c r="D33" s="176">
        <v>30</v>
      </c>
      <c r="E33" s="75" t="str">
        <f>IF('Jmený seznam'!D34,'Jmený seznam'!E34)</f>
        <v>Vejs David</v>
      </c>
      <c r="F33" s="74" t="s">
        <v>26</v>
      </c>
      <c r="G33" s="252">
        <f>IF(RZ!$BA$52=8,"",IF(RZ!G33,RZ!AY33))</f>
        <v>1</v>
      </c>
      <c r="H33" s="62">
        <f>IF(LRU!$AZ$53=0,"",IF(LRU!E34,LRU!AW34))</f>
        <v>1</v>
      </c>
      <c r="I33" s="252">
        <f>IF(RT!$Z$53=8,"",IF(RT!F34,RT!X34))</f>
        <v>7</v>
      </c>
      <c r="J33" s="76"/>
      <c r="K33" s="76"/>
      <c r="L33" s="76">
        <f>Y33</f>
        <v>9</v>
      </c>
      <c r="M33" s="65"/>
      <c r="N33" s="77"/>
      <c r="O33" s="65"/>
      <c r="P33" s="241"/>
      <c r="Q33" s="65">
        <f>RANK(L33,$L$4:$L$51,1)</f>
        <v>2</v>
      </c>
      <c r="R33" s="77">
        <f>COUNTIF($Q$4:$Q$51,Q33)</f>
        <v>1</v>
      </c>
      <c r="S33" s="245"/>
      <c r="T33" s="245"/>
      <c r="U33" s="245">
        <f>L33+(G33/100000)</f>
        <v>9.00001</v>
      </c>
      <c r="V33" s="65"/>
      <c r="W33" s="65"/>
      <c r="X33" s="65">
        <f>RANK(U33,$U$4:$U$51,1)</f>
        <v>2</v>
      </c>
      <c r="Y33" s="74">
        <f t="shared" si="0"/>
        <v>9</v>
      </c>
      <c r="Z33" s="48">
        <f>IF(R33=1,Q33,X33)</f>
        <v>2</v>
      </c>
    </row>
    <row r="34" spans="3:26" ht="14.25" customHeight="1">
      <c r="C34" s="386" t="str">
        <f>IF('Jmený seznam'!D35,'Jmený seznam'!C35)</f>
        <v>Severočeský</v>
      </c>
      <c r="D34" s="173">
        <v>31</v>
      </c>
      <c r="E34" s="57" t="str">
        <f>IF('Jmený seznam'!D35,'Jmený seznam'!E35)</f>
        <v>Merhaut Petr</v>
      </c>
      <c r="F34" s="56" t="s">
        <v>20</v>
      </c>
      <c r="G34" s="251">
        <f>IF(RZ!$BA$52=8,"",IF(RZ!G34,RZ!AY34))</f>
        <v>28</v>
      </c>
      <c r="H34" s="56">
        <f>IF(LRU!$AZ$53=0,"",IF(LRU!E35,LRU!AW35))</f>
        <v>30</v>
      </c>
      <c r="I34" s="251">
        <f>IF(RT!$Z$53=8,"",IF(RT!F35,RT!X35))</f>
        <v>4</v>
      </c>
      <c r="J34" s="58">
        <f>Y34</f>
        <v>62</v>
      </c>
      <c r="K34" s="58"/>
      <c r="L34" s="58"/>
      <c r="M34" s="113">
        <f>RANK(J34,$J$4:$J$51,1)</f>
        <v>22</v>
      </c>
      <c r="N34" s="113">
        <f>COUNTIF($M$4:$M$51,M34)</f>
        <v>1</v>
      </c>
      <c r="O34" s="59"/>
      <c r="P34" s="113"/>
      <c r="Q34" s="59"/>
      <c r="R34" s="59"/>
      <c r="S34" s="242">
        <f>J34+(G34/100000)</f>
        <v>62.00028</v>
      </c>
      <c r="T34" s="243"/>
      <c r="U34" s="243"/>
      <c r="V34" s="113">
        <f>RANK(S34,$S$4:$S$51,1)</f>
        <v>22</v>
      </c>
      <c r="W34" s="59"/>
      <c r="X34" s="59"/>
      <c r="Y34" s="56">
        <f t="shared" si="0"/>
        <v>62</v>
      </c>
      <c r="Z34" s="248">
        <f>IF(N34=1,M34,V34)</f>
        <v>22</v>
      </c>
    </row>
    <row r="35" spans="3:26" ht="14.25" customHeight="1">
      <c r="C35" s="357"/>
      <c r="D35" s="174">
        <v>32</v>
      </c>
      <c r="E35" s="52" t="str">
        <f>IF('Jmený seznam'!D36,'Jmený seznam'!E36)</f>
        <v>Knobloch Jan</v>
      </c>
      <c r="F35" s="51" t="s">
        <v>20</v>
      </c>
      <c r="G35" s="51">
        <f>IF(RZ!$BA$52=8,"",IF(RZ!G35,RZ!AY35))</f>
        <v>31</v>
      </c>
      <c r="H35" s="51">
        <f>IF(LRU!$AZ$53=0,"",IF(LRU!E36,LRU!AW36))</f>
        <v>32</v>
      </c>
      <c r="I35" s="51">
        <f>IF(RT!$Z$53=8,"",IF(RT!F36,RT!X36))</f>
        <v>29</v>
      </c>
      <c r="J35" s="53">
        <f>Y35</f>
        <v>92</v>
      </c>
      <c r="K35" s="53"/>
      <c r="L35" s="53"/>
      <c r="M35" s="54">
        <f>RANK(J35,$J$4:$J$51,1)</f>
        <v>32</v>
      </c>
      <c r="N35" s="54">
        <f>COUNTIF($M$4:$M$51,M35)</f>
        <v>1</v>
      </c>
      <c r="O35" s="54"/>
      <c r="P35" s="54"/>
      <c r="Q35" s="54"/>
      <c r="R35" s="54"/>
      <c r="S35" s="244">
        <f>J35+(G35/100000)</f>
        <v>92.00031</v>
      </c>
      <c r="T35" s="244"/>
      <c r="U35" s="244"/>
      <c r="V35" s="54">
        <f>RANK(S35,$S$4:$S$51,1)</f>
        <v>32</v>
      </c>
      <c r="W35" s="54"/>
      <c r="X35" s="54"/>
      <c r="Y35" s="51">
        <f t="shared" si="0"/>
        <v>92</v>
      </c>
      <c r="Z35" s="47">
        <f t="shared" si="1"/>
        <v>32</v>
      </c>
    </row>
    <row r="36" spans="3:26" ht="14.25" customHeight="1">
      <c r="C36" s="357"/>
      <c r="D36" s="174">
        <v>33</v>
      </c>
      <c r="E36" s="52" t="str">
        <f>IF('Jmený seznam'!D37,'Jmený seznam'!E37)</f>
        <v>Richter Jiří</v>
      </c>
      <c r="F36" s="51" t="s">
        <v>20</v>
      </c>
      <c r="G36" s="51">
        <f>IF(RZ!$BA$52=8,"",IF(RZ!G36,RZ!AY36))</f>
        <v>22</v>
      </c>
      <c r="H36" s="51">
        <f>IF(LRU!$AZ$53=0,"",IF(LRU!E37,LRU!AW37))</f>
        <v>26</v>
      </c>
      <c r="I36" s="51">
        <f>IF(RT!$Z$53=8,"",IF(RT!F37,RT!X37))</f>
        <v>18</v>
      </c>
      <c r="J36" s="53">
        <f>Y36</f>
        <v>66</v>
      </c>
      <c r="K36" s="53"/>
      <c r="L36" s="53"/>
      <c r="M36" s="54">
        <f>RANK(J36,$J$4:$J$51,1)</f>
        <v>25</v>
      </c>
      <c r="N36" s="54">
        <f>COUNTIF($M$4:$M$51,M36)</f>
        <v>1</v>
      </c>
      <c r="O36" s="54"/>
      <c r="P36" s="54"/>
      <c r="Q36" s="54"/>
      <c r="R36" s="54"/>
      <c r="S36" s="244">
        <f>J36+(G36/100000)</f>
        <v>66.00022</v>
      </c>
      <c r="T36" s="244"/>
      <c r="U36" s="244"/>
      <c r="V36" s="54">
        <f>RANK(S36,$S$4:$S$51,1)</f>
        <v>25</v>
      </c>
      <c r="W36" s="54"/>
      <c r="X36" s="54"/>
      <c r="Y36" s="51">
        <f t="shared" si="0"/>
        <v>66</v>
      </c>
      <c r="Z36" s="47">
        <f t="shared" si="1"/>
        <v>25</v>
      </c>
    </row>
    <row r="37" spans="3:26" ht="14.25" customHeight="1">
      <c r="C37" s="357"/>
      <c r="D37" s="174">
        <v>34</v>
      </c>
      <c r="E37" s="52" t="str">
        <f>IF('Jmený seznam'!D38,'Jmený seznam'!E38)</f>
        <v>Farský Jaromír</v>
      </c>
      <c r="F37" s="51" t="s">
        <v>20</v>
      </c>
      <c r="G37" s="51">
        <f>IF(RZ!$BA$52=8,"",IF(RZ!G37,RZ!AY37))</f>
        <v>14</v>
      </c>
      <c r="H37" s="51">
        <f>IF(LRU!$AZ$53=0,"",IF(LRU!E38,LRU!AW38))</f>
        <v>31</v>
      </c>
      <c r="I37" s="51">
        <f>IF(RT!$Z$53=8,"",IF(RT!F38,RT!X38))</f>
        <v>14</v>
      </c>
      <c r="J37" s="53">
        <f>Y37</f>
        <v>59</v>
      </c>
      <c r="K37" s="53"/>
      <c r="L37" s="53"/>
      <c r="M37" s="54">
        <f>RANK(J37,$J$4:$J$51,1)</f>
        <v>21</v>
      </c>
      <c r="N37" s="54">
        <f>COUNTIF($M$4:$M$51,M37)</f>
        <v>1</v>
      </c>
      <c r="O37" s="54"/>
      <c r="P37" s="54"/>
      <c r="Q37" s="54"/>
      <c r="R37" s="54"/>
      <c r="S37" s="244">
        <f>J37+(G37/100000)</f>
        <v>59.00014</v>
      </c>
      <c r="T37" s="244"/>
      <c r="U37" s="244"/>
      <c r="V37" s="54">
        <f>RANK(S37,$S$4:$S$51,1)</f>
        <v>21</v>
      </c>
      <c r="W37" s="54"/>
      <c r="X37" s="54"/>
      <c r="Y37" s="51">
        <f t="shared" si="0"/>
        <v>59</v>
      </c>
      <c r="Z37" s="124">
        <f t="shared" si="1"/>
        <v>21</v>
      </c>
    </row>
    <row r="38" spans="3:26" ht="14.25" customHeight="1">
      <c r="C38" s="357"/>
      <c r="D38" s="174">
        <v>35</v>
      </c>
      <c r="E38" s="52" t="str">
        <f>IF('Jmený seznam'!D39,'Jmený seznam'!E39)</f>
        <v>Kasalová Marie</v>
      </c>
      <c r="F38" s="51" t="s">
        <v>24</v>
      </c>
      <c r="G38" s="51">
        <f>IF(RZ!$BA$52=8,"",IF(RZ!G38,RZ!AY38))</f>
        <v>8</v>
      </c>
      <c r="H38" s="51">
        <f>IF(LRU!$AZ$53=0,"",IF(LRU!E39,LRU!AW39))</f>
        <v>6</v>
      </c>
      <c r="I38" s="51">
        <f>IF(RT!$Z$53=8,"",IF(RT!F39,RT!X39))</f>
        <v>8</v>
      </c>
      <c r="J38" s="53"/>
      <c r="K38" s="53">
        <f>Y38</f>
        <v>22</v>
      </c>
      <c r="L38" s="53"/>
      <c r="M38" s="54"/>
      <c r="N38" s="54"/>
      <c r="O38" s="54">
        <f>RANK(K38,$K$4:$K$51,1)</f>
        <v>8</v>
      </c>
      <c r="P38" s="54">
        <f>COUNTIF($O$4:$O$51,O38)</f>
        <v>1</v>
      </c>
      <c r="Q38" s="54"/>
      <c r="R38" s="54"/>
      <c r="S38" s="244"/>
      <c r="T38" s="244">
        <f>K38+(G38/100000)</f>
        <v>22.00008</v>
      </c>
      <c r="U38" s="244"/>
      <c r="V38" s="54"/>
      <c r="W38" s="54">
        <f>RANK(T38,$T$4:$T$51,1)</f>
        <v>8</v>
      </c>
      <c r="X38" s="54"/>
      <c r="Y38" s="51">
        <f t="shared" si="0"/>
        <v>22</v>
      </c>
      <c r="Z38" s="47">
        <f>IF(P38=1,O38,W38)</f>
        <v>8</v>
      </c>
    </row>
    <row r="39" spans="3:26" ht="14.25" customHeight="1" thickBot="1">
      <c r="C39" s="387"/>
      <c r="D39" s="176">
        <v>36</v>
      </c>
      <c r="E39" s="75" t="str">
        <f>IF('Jmený seznam'!D40,'Jmený seznam'!E40)</f>
        <v>Žejdl Ondřej</v>
      </c>
      <c r="F39" s="74" t="s">
        <v>26</v>
      </c>
      <c r="G39" s="252">
        <f>IF(RZ!$BA$52=8,"",IF(RZ!G39,RZ!AY39))</f>
        <v>6</v>
      </c>
      <c r="H39" s="62">
        <f>IF(LRU!$AZ$53=0,"",IF(LRU!E40,LRU!AW40))</f>
        <v>8</v>
      </c>
      <c r="I39" s="252">
        <f>IF(RT!$Z$53=8,"",IF(RT!F40,RT!X40))</f>
        <v>5</v>
      </c>
      <c r="J39" s="76"/>
      <c r="K39" s="76"/>
      <c r="L39" s="76">
        <f>Y39</f>
        <v>19</v>
      </c>
      <c r="M39" s="65"/>
      <c r="N39" s="77"/>
      <c r="O39" s="65"/>
      <c r="P39" s="241"/>
      <c r="Q39" s="65">
        <f>RANK(L39,$L$4:$L$51,1)</f>
        <v>7</v>
      </c>
      <c r="R39" s="77">
        <f>COUNTIF($Q$4:$Q$51,Q39)</f>
        <v>1</v>
      </c>
      <c r="S39" s="245"/>
      <c r="T39" s="245"/>
      <c r="U39" s="245">
        <f>L39+(G39/100000)</f>
        <v>19.00006</v>
      </c>
      <c r="V39" s="65"/>
      <c r="W39" s="65"/>
      <c r="X39" s="65">
        <f>RANK(U39,$U$4:$U$51,1)</f>
        <v>7</v>
      </c>
      <c r="Y39" s="74">
        <f t="shared" si="0"/>
        <v>19</v>
      </c>
      <c r="Z39" s="48">
        <f>IF(R39=1,Q39,X39)</f>
        <v>7</v>
      </c>
    </row>
    <row r="40" spans="3:26" ht="14.25" customHeight="1">
      <c r="C40" s="356" t="str">
        <f>IF('Jmený seznam'!D41,'Jmený seznam'!C41)</f>
        <v>Středočeský</v>
      </c>
      <c r="D40" s="173">
        <v>37</v>
      </c>
      <c r="E40" s="57" t="str">
        <f>IF('Jmený seznam'!D41,'Jmený seznam'!E41)</f>
        <v>Červenková Jana</v>
      </c>
      <c r="F40" s="56" t="s">
        <v>20</v>
      </c>
      <c r="G40" s="251">
        <f>IF(RZ!$BA$52=8,"",IF(RZ!G40,RZ!AY40))</f>
        <v>32</v>
      </c>
      <c r="H40" s="56">
        <f>IF(LRU!$AZ$53=0,"",IF(LRU!E41,LRU!AW41))</f>
        <v>24</v>
      </c>
      <c r="I40" s="251">
        <f>IF(RT!$Z$53=8,"",IF(RT!F41,RT!X41))</f>
        <v>32</v>
      </c>
      <c r="J40" s="58">
        <f>Y40</f>
        <v>88</v>
      </c>
      <c r="K40" s="58"/>
      <c r="L40" s="58"/>
      <c r="M40" s="113">
        <f>RANK(J40,$J$4:$J$51,1)</f>
        <v>31</v>
      </c>
      <c r="N40" s="113">
        <f>COUNTIF($M$4:$M$51,M40)</f>
        <v>1</v>
      </c>
      <c r="O40" s="59"/>
      <c r="P40" s="113"/>
      <c r="Q40" s="59"/>
      <c r="R40" s="59"/>
      <c r="S40" s="242">
        <f>J40+(G40/100000)</f>
        <v>88.00032</v>
      </c>
      <c r="T40" s="243"/>
      <c r="U40" s="243"/>
      <c r="V40" s="113">
        <f>RANK(S40,$S$4:$S$51,1)</f>
        <v>31</v>
      </c>
      <c r="W40" s="59"/>
      <c r="X40" s="59"/>
      <c r="Y40" s="56">
        <f t="shared" si="0"/>
        <v>88</v>
      </c>
      <c r="Z40" s="248">
        <f>IF(N40=1,M40,V40)</f>
        <v>31</v>
      </c>
    </row>
    <row r="41" spans="3:26" ht="14.25" customHeight="1">
      <c r="C41" s="357"/>
      <c r="D41" s="174">
        <v>38</v>
      </c>
      <c r="E41" s="52" t="str">
        <f>IF('Jmený seznam'!D42,'Jmený seznam'!E42)</f>
        <v>Červenka Jiří</v>
      </c>
      <c r="F41" s="51" t="s">
        <v>20</v>
      </c>
      <c r="G41" s="51">
        <f>IF(RZ!$BA$52=8,"",IF(RZ!G41,RZ!AY41))</f>
        <v>29</v>
      </c>
      <c r="H41" s="51">
        <f>IF(LRU!$AZ$53=0,"",IF(LRU!E42,LRU!AW42))</f>
        <v>9</v>
      </c>
      <c r="I41" s="51">
        <f>IF(RT!$Z$53=8,"",IF(RT!F42,RT!X42))</f>
        <v>26</v>
      </c>
      <c r="J41" s="53">
        <f>Y41</f>
        <v>64</v>
      </c>
      <c r="K41" s="53"/>
      <c r="L41" s="53"/>
      <c r="M41" s="54">
        <f>RANK(J41,$J$4:$J$51,1)</f>
        <v>24</v>
      </c>
      <c r="N41" s="54">
        <f>COUNTIF($M$4:$M$51,M41)</f>
        <v>1</v>
      </c>
      <c r="O41" s="54"/>
      <c r="P41" s="54"/>
      <c r="Q41" s="54"/>
      <c r="R41" s="54"/>
      <c r="S41" s="244">
        <f>J41+(G41/100000)</f>
        <v>64.00029</v>
      </c>
      <c r="T41" s="244"/>
      <c r="U41" s="244"/>
      <c r="V41" s="54">
        <f>RANK(S41,$S$4:$S$51,1)</f>
        <v>24</v>
      </c>
      <c r="W41" s="54"/>
      <c r="X41" s="54"/>
      <c r="Y41" s="51">
        <f t="shared" si="0"/>
        <v>64</v>
      </c>
      <c r="Z41" s="47">
        <f t="shared" si="1"/>
        <v>24</v>
      </c>
    </row>
    <row r="42" spans="3:26" ht="14.25" customHeight="1">
      <c r="C42" s="357"/>
      <c r="D42" s="174">
        <v>39</v>
      </c>
      <c r="E42" s="52" t="str">
        <f>IF('Jmený seznam'!D43,'Jmený seznam'!E43)</f>
        <v>Šedivý Vojtěch</v>
      </c>
      <c r="F42" s="51" t="s">
        <v>20</v>
      </c>
      <c r="G42" s="51">
        <f>IF(RZ!$BA$52=8,"",IF(RZ!G42,RZ!AY42))</f>
        <v>8</v>
      </c>
      <c r="H42" s="51">
        <f>IF(LRU!$AZ$53=0,"",IF(LRU!E43,LRU!AW43))</f>
        <v>16</v>
      </c>
      <c r="I42" s="51">
        <f>IF(RT!$Z$53=8,"",IF(RT!F43,RT!X43))</f>
        <v>19</v>
      </c>
      <c r="J42" s="53">
        <f>Y42</f>
        <v>43</v>
      </c>
      <c r="K42" s="53"/>
      <c r="L42" s="53"/>
      <c r="M42" s="54">
        <f>RANK(J42,$J$4:$J$51,1)</f>
        <v>15</v>
      </c>
      <c r="N42" s="54">
        <f>COUNTIF($M$4:$M$51,M42)</f>
        <v>1</v>
      </c>
      <c r="O42" s="54"/>
      <c r="P42" s="54"/>
      <c r="Q42" s="54"/>
      <c r="R42" s="54"/>
      <c r="S42" s="244">
        <f>J42+(G42/100000)</f>
        <v>43.00008</v>
      </c>
      <c r="T42" s="244"/>
      <c r="U42" s="244"/>
      <c r="V42" s="54">
        <f>RANK(S42,$S$4:$S$51,1)</f>
        <v>15</v>
      </c>
      <c r="W42" s="54"/>
      <c r="X42" s="54"/>
      <c r="Y42" s="51">
        <f t="shared" si="0"/>
        <v>43</v>
      </c>
      <c r="Z42" s="47">
        <f t="shared" si="1"/>
        <v>15</v>
      </c>
    </row>
    <row r="43" spans="3:26" ht="14.25" customHeight="1">
      <c r="C43" s="357"/>
      <c r="D43" s="174">
        <v>40</v>
      </c>
      <c r="E43" s="52" t="str">
        <f>IF('Jmený seznam'!D44,'Jmený seznam'!E44)</f>
        <v>Dvořák Matěj</v>
      </c>
      <c r="F43" s="51" t="s">
        <v>20</v>
      </c>
      <c r="G43" s="51">
        <f>IF(RZ!$BA$52=8,"",IF(RZ!G43,RZ!AY43))</f>
        <v>23</v>
      </c>
      <c r="H43" s="51">
        <f>IF(LRU!$AZ$53=0,"",IF(LRU!E44,LRU!AW44))</f>
        <v>29</v>
      </c>
      <c r="I43" s="51">
        <f>IF(RT!$Z$53=8,"",IF(RT!F44,RT!X44))</f>
        <v>30</v>
      </c>
      <c r="J43" s="53">
        <f>Y43</f>
        <v>82</v>
      </c>
      <c r="K43" s="53"/>
      <c r="L43" s="53"/>
      <c r="M43" s="54">
        <f>RANK(J43,$J$4:$J$51,1)</f>
        <v>30</v>
      </c>
      <c r="N43" s="54">
        <f>COUNTIF($M$4:$M$51,M43)</f>
        <v>1</v>
      </c>
      <c r="O43" s="54"/>
      <c r="P43" s="54"/>
      <c r="Q43" s="54"/>
      <c r="R43" s="54"/>
      <c r="S43" s="244">
        <f>J43+(G43/100000)</f>
        <v>82.00023</v>
      </c>
      <c r="T43" s="244"/>
      <c r="U43" s="244"/>
      <c r="V43" s="54">
        <f>RANK(S43,$S$4:$S$51,1)</f>
        <v>30</v>
      </c>
      <c r="W43" s="54"/>
      <c r="X43" s="54"/>
      <c r="Y43" s="51">
        <f t="shared" si="0"/>
        <v>82</v>
      </c>
      <c r="Z43" s="124">
        <f t="shared" si="1"/>
        <v>30</v>
      </c>
    </row>
    <row r="44" spans="3:26" ht="14.25" customHeight="1">
      <c r="C44" s="357"/>
      <c r="D44" s="174">
        <v>41</v>
      </c>
      <c r="E44" s="52" t="str">
        <f>IF('Jmený seznam'!D45,'Jmený seznam'!E45)</f>
        <v>Caltová Zuzana</v>
      </c>
      <c r="F44" s="51" t="s">
        <v>24</v>
      </c>
      <c r="G44" s="51">
        <f>IF(RZ!$BA$52=8,"",IF(RZ!G44,RZ!AY44))</f>
        <v>6</v>
      </c>
      <c r="H44" s="51">
        <f>IF(LRU!$AZ$53=0,"",IF(LRU!E45,LRU!AW45))</f>
        <v>8</v>
      </c>
      <c r="I44" s="51">
        <f>IF(RT!$Z$53=8,"",IF(RT!F45,RT!X45))</f>
        <v>5</v>
      </c>
      <c r="J44" s="53"/>
      <c r="K44" s="53">
        <f>Y44</f>
        <v>19</v>
      </c>
      <c r="L44" s="53"/>
      <c r="M44" s="54"/>
      <c r="N44" s="54"/>
      <c r="O44" s="54">
        <f>RANK(K44,$K$4:$K$51,1)</f>
        <v>7</v>
      </c>
      <c r="P44" s="54">
        <f>COUNTIF($O$4:$O$51,O44)</f>
        <v>1</v>
      </c>
      <c r="Q44" s="54"/>
      <c r="R44" s="54"/>
      <c r="S44" s="244"/>
      <c r="T44" s="244">
        <f>K44+(G44/100000)</f>
        <v>19.00006</v>
      </c>
      <c r="U44" s="244"/>
      <c r="V44" s="54"/>
      <c r="W44" s="54">
        <f>RANK(T44,$T$4:$T$51,1)</f>
        <v>7</v>
      </c>
      <c r="X44" s="54"/>
      <c r="Y44" s="51">
        <f t="shared" si="0"/>
        <v>19</v>
      </c>
      <c r="Z44" s="47">
        <f>IF(P44=1,O44,W44)</f>
        <v>7</v>
      </c>
    </row>
    <row r="45" spans="3:26" ht="14.25" customHeight="1" thickBot="1">
      <c r="C45" s="387"/>
      <c r="D45" s="176">
        <v>42</v>
      </c>
      <c r="E45" s="75" t="str">
        <f>IF('Jmený seznam'!D46,'Jmený seznam'!E46)</f>
        <v>Linhart Jan</v>
      </c>
      <c r="F45" s="74" t="s">
        <v>26</v>
      </c>
      <c r="G45" s="252">
        <f>IF(RZ!$BA$52=8,"",IF(RZ!G45,RZ!AY45))</f>
        <v>2</v>
      </c>
      <c r="H45" s="62">
        <f>IF(LRU!$AZ$53=0,"",IF(LRU!E46,LRU!AW46))</f>
        <v>4</v>
      </c>
      <c r="I45" s="252">
        <f>IF(RT!$Z$53=8,"",IF(RT!F46,RT!X46))</f>
        <v>6</v>
      </c>
      <c r="J45" s="76"/>
      <c r="K45" s="76"/>
      <c r="L45" s="76">
        <f>Y45</f>
        <v>12</v>
      </c>
      <c r="M45" s="65"/>
      <c r="N45" s="77"/>
      <c r="O45" s="65"/>
      <c r="P45" s="241"/>
      <c r="Q45" s="65">
        <f>RANK(L45,$L$4:$L$51,1)</f>
        <v>4</v>
      </c>
      <c r="R45" s="77">
        <f>COUNTIF($Q$4:$Q$51,Q45)</f>
        <v>1</v>
      </c>
      <c r="S45" s="245"/>
      <c r="T45" s="245"/>
      <c r="U45" s="245">
        <f>L45+(G45/100000)</f>
        <v>12.00002</v>
      </c>
      <c r="V45" s="65"/>
      <c r="W45" s="65"/>
      <c r="X45" s="65">
        <f>RANK(U45,$U$4:$U$51,1)</f>
        <v>4</v>
      </c>
      <c r="Y45" s="74">
        <f t="shared" si="0"/>
        <v>12</v>
      </c>
      <c r="Z45" s="48">
        <f>IF(R45=1,Q45,X45)</f>
        <v>4</v>
      </c>
    </row>
    <row r="46" spans="3:26" ht="14.25" customHeight="1">
      <c r="C46" s="356" t="str">
        <f>IF('Jmený seznam'!D47,'Jmený seznam'!C47)</f>
        <v>Jihočeský</v>
      </c>
      <c r="D46" s="173">
        <v>43</v>
      </c>
      <c r="E46" s="57" t="str">
        <f>IF('Jmený seznam'!D47,'Jmený seznam'!E47)</f>
        <v>Strupek Matěj</v>
      </c>
      <c r="F46" s="56" t="s">
        <v>20</v>
      </c>
      <c r="G46" s="251">
        <f>IF(RZ!$BA$52=8,"",IF(RZ!G46,RZ!AY46))</f>
        <v>20</v>
      </c>
      <c r="H46" s="56">
        <f>IF(LRU!$AZ$53=0,"",IF(LRU!E47,LRU!AW47))</f>
        <v>27</v>
      </c>
      <c r="I46" s="251">
        <f>IF(RT!$Z$53=8,"",IF(RT!F47,RT!X47))</f>
        <v>24</v>
      </c>
      <c r="J46" s="58">
        <f>Y46</f>
        <v>71</v>
      </c>
      <c r="K46" s="58"/>
      <c r="L46" s="58"/>
      <c r="M46" s="113">
        <f>RANK(J46,$J$4:$J$51,1)</f>
        <v>27</v>
      </c>
      <c r="N46" s="113">
        <f>COUNTIF($M$4:$M$51,M46)</f>
        <v>1</v>
      </c>
      <c r="O46" s="59"/>
      <c r="P46" s="113"/>
      <c r="Q46" s="59"/>
      <c r="R46" s="59"/>
      <c r="S46" s="242">
        <f>J46+(G46/100000)</f>
        <v>71.0002</v>
      </c>
      <c r="T46" s="243"/>
      <c r="U46" s="243"/>
      <c r="V46" s="113">
        <f>RANK(S46,$S$4:$S$51,1)</f>
        <v>27</v>
      </c>
      <c r="W46" s="59"/>
      <c r="X46" s="59"/>
      <c r="Y46" s="56">
        <f t="shared" si="0"/>
        <v>71</v>
      </c>
      <c r="Z46" s="248">
        <f>IF(N46=1,M46,V46)</f>
        <v>27</v>
      </c>
    </row>
    <row r="47" spans="3:26" ht="14.25" customHeight="1">
      <c r="C47" s="357"/>
      <c r="D47" s="174">
        <v>44</v>
      </c>
      <c r="E47" s="52" t="str">
        <f>IF('Jmený seznam'!D48,'Jmený seznam'!E48)</f>
        <v>Lešek Tomáš</v>
      </c>
      <c r="F47" s="51" t="s">
        <v>20</v>
      </c>
      <c r="G47" s="51">
        <f>IF(RZ!$BA$52=8,"",IF(RZ!G47,RZ!AY47))</f>
        <v>21</v>
      </c>
      <c r="H47" s="51">
        <f>IF(LRU!$AZ$53=0,"",IF(LRU!E48,LRU!AW48))</f>
        <v>21</v>
      </c>
      <c r="I47" s="51">
        <f>IF(RT!$Z$53=8,"",IF(RT!F48,RT!X48))</f>
        <v>11</v>
      </c>
      <c r="J47" s="53">
        <f>Y47</f>
        <v>53</v>
      </c>
      <c r="K47" s="53"/>
      <c r="L47" s="53"/>
      <c r="M47" s="54">
        <f>RANK(J47,$J$4:$J$51,1)</f>
        <v>18</v>
      </c>
      <c r="N47" s="54">
        <f>COUNTIF($M$4:$M$51,M47)</f>
        <v>1</v>
      </c>
      <c r="O47" s="54"/>
      <c r="P47" s="54"/>
      <c r="Q47" s="54"/>
      <c r="R47" s="54"/>
      <c r="S47" s="244">
        <f>J47+(G47/100000)</f>
        <v>53.00021</v>
      </c>
      <c r="T47" s="244"/>
      <c r="U47" s="244"/>
      <c r="V47" s="54">
        <f>RANK(S47,$S$4:$S$51,1)</f>
        <v>18</v>
      </c>
      <c r="W47" s="54"/>
      <c r="X47" s="54"/>
      <c r="Y47" s="51">
        <f t="shared" si="0"/>
        <v>53</v>
      </c>
      <c r="Z47" s="47">
        <f t="shared" si="1"/>
        <v>18</v>
      </c>
    </row>
    <row r="48" spans="3:26" ht="14.25" customHeight="1">
      <c r="C48" s="357"/>
      <c r="D48" s="174">
        <v>45</v>
      </c>
      <c r="E48" s="52" t="str">
        <f>IF('Jmený seznam'!D49,'Jmený seznam'!E49)</f>
        <v>Nusko Petr</v>
      </c>
      <c r="F48" s="51" t="s">
        <v>20</v>
      </c>
      <c r="G48" s="51">
        <f>IF(RZ!$BA$52=8,"",IF(RZ!G48,RZ!AY48))</f>
        <v>16</v>
      </c>
      <c r="H48" s="51">
        <f>IF(LRU!$AZ$53=0,"",IF(LRU!E49,LRU!AW49))</f>
        <v>18</v>
      </c>
      <c r="I48" s="51">
        <f>IF(RT!$Z$53=8,"",IF(RT!F49,RT!X49))</f>
        <v>23</v>
      </c>
      <c r="J48" s="53">
        <f>Y48</f>
        <v>57</v>
      </c>
      <c r="K48" s="53"/>
      <c r="L48" s="53"/>
      <c r="M48" s="54">
        <f>RANK(J48,$J$4:$J$51,1)</f>
        <v>20</v>
      </c>
      <c r="N48" s="54">
        <f>COUNTIF($M$4:$M$51,M48)</f>
        <v>1</v>
      </c>
      <c r="O48" s="54"/>
      <c r="P48" s="54"/>
      <c r="Q48" s="54"/>
      <c r="R48" s="54"/>
      <c r="S48" s="244">
        <f>J48+(G48/100000)</f>
        <v>57.00016</v>
      </c>
      <c r="T48" s="244"/>
      <c r="U48" s="244"/>
      <c r="V48" s="54">
        <f>RANK(S48,$S$4:$S$51,1)</f>
        <v>20</v>
      </c>
      <c r="W48" s="54"/>
      <c r="X48" s="54"/>
      <c r="Y48" s="51">
        <f t="shared" si="0"/>
        <v>57</v>
      </c>
      <c r="Z48" s="47">
        <f t="shared" si="1"/>
        <v>20</v>
      </c>
    </row>
    <row r="49" spans="3:26" ht="14.25" customHeight="1">
      <c r="C49" s="357"/>
      <c r="D49" s="174">
        <v>46</v>
      </c>
      <c r="E49" s="52" t="str">
        <f>IF('Jmený seznam'!D50,'Jmený seznam'!E50)</f>
        <v>Benešová Karolína</v>
      </c>
      <c r="F49" s="51" t="s">
        <v>20</v>
      </c>
      <c r="G49" s="51">
        <f>IF(RZ!$BA$52=8,"",IF(RZ!G49,RZ!AY49))</f>
        <v>19</v>
      </c>
      <c r="H49" s="51">
        <f>IF(LRU!$AZ$53=0,"",IF(LRU!E50,LRU!AW50))</f>
        <v>28</v>
      </c>
      <c r="I49" s="51">
        <f>IF(RT!$Z$53=8,"",IF(RT!F50,RT!X50))</f>
        <v>8</v>
      </c>
      <c r="J49" s="53">
        <f>Y49</f>
        <v>55</v>
      </c>
      <c r="K49" s="53"/>
      <c r="L49" s="53"/>
      <c r="M49" s="54">
        <f>RANK(J49,$J$4:$J$51,1)</f>
        <v>19</v>
      </c>
      <c r="N49" s="54">
        <f>COUNTIF($M$4:$M$51,M49)</f>
        <v>1</v>
      </c>
      <c r="O49" s="54"/>
      <c r="P49" s="54"/>
      <c r="Q49" s="54"/>
      <c r="R49" s="54"/>
      <c r="S49" s="244">
        <f>J49+(G49/100000)</f>
        <v>55.00019</v>
      </c>
      <c r="T49" s="244"/>
      <c r="U49" s="244"/>
      <c r="V49" s="54">
        <f>RANK(S49,$S$4:$S$51,1)</f>
        <v>19</v>
      </c>
      <c r="W49" s="54"/>
      <c r="X49" s="54"/>
      <c r="Y49" s="51">
        <f t="shared" si="0"/>
        <v>55</v>
      </c>
      <c r="Z49" s="124">
        <f t="shared" si="1"/>
        <v>19</v>
      </c>
    </row>
    <row r="50" spans="3:26" ht="14.25" customHeight="1">
      <c r="C50" s="357"/>
      <c r="D50" s="174">
        <v>47</v>
      </c>
      <c r="E50" s="52" t="str">
        <f>IF('Jmený seznam'!D51,'Jmený seznam'!E51)</f>
        <v>Tomšíková Veronika</v>
      </c>
      <c r="F50" s="51" t="s">
        <v>24</v>
      </c>
      <c r="G50" s="51">
        <f>IF(RZ!$BA$52=8,"",IF(RZ!G50,RZ!AY50))</f>
        <v>5</v>
      </c>
      <c r="H50" s="51">
        <f>IF(LRU!$AZ$53=0,"",IF(LRU!E51,LRU!AW51))</f>
        <v>5</v>
      </c>
      <c r="I50" s="51">
        <f>IF(RT!$Z$53=8,"",IF(RT!F51,RT!X51))</f>
        <v>4</v>
      </c>
      <c r="J50" s="53"/>
      <c r="K50" s="53">
        <f>Y50</f>
        <v>14</v>
      </c>
      <c r="L50" s="53"/>
      <c r="M50" s="54"/>
      <c r="N50" s="54"/>
      <c r="O50" s="54">
        <f>RANK(K50,$K$4:$K$51,1)</f>
        <v>5</v>
      </c>
      <c r="P50" s="54">
        <f>COUNTIF($O$4:$O$51,O50)</f>
        <v>2</v>
      </c>
      <c r="Q50" s="54"/>
      <c r="R50" s="54"/>
      <c r="S50" s="244"/>
      <c r="T50" s="244">
        <f>K50+(G50/100000)</f>
        <v>14.00005</v>
      </c>
      <c r="U50" s="244"/>
      <c r="V50" s="54"/>
      <c r="W50" s="54">
        <f>RANK(T50,$T$4:$T$51,1)</f>
        <v>6</v>
      </c>
      <c r="X50" s="54"/>
      <c r="Y50" s="51">
        <f t="shared" si="0"/>
        <v>14</v>
      </c>
      <c r="Z50" s="47">
        <f>IF(P50=1,O50,W50)</f>
        <v>6</v>
      </c>
    </row>
    <row r="51" spans="3:26" ht="14.25" customHeight="1" thickBot="1">
      <c r="C51" s="387"/>
      <c r="D51" s="175">
        <v>48</v>
      </c>
      <c r="E51" s="63" t="str">
        <f>IF('Jmený seznam'!D52,'Jmený seznam'!E52)</f>
        <v>Sepekář Milan</v>
      </c>
      <c r="F51" s="62" t="s">
        <v>26</v>
      </c>
      <c r="G51" s="62">
        <f>IF(RZ!$BA$52=8,"",IF(RZ!G51,RZ!AY51))</f>
        <v>5</v>
      </c>
      <c r="H51" s="62">
        <f>IF(LRU!$AZ$53=0,"",IF(LRU!E52,LRU!AW52))</f>
        <v>7</v>
      </c>
      <c r="I51" s="62">
        <f>IF(RT!$Z$53=8,"",IF(RT!F52,RT!X52))</f>
        <v>2</v>
      </c>
      <c r="J51" s="64"/>
      <c r="K51" s="64"/>
      <c r="L51" s="64">
        <f>Y51</f>
        <v>14</v>
      </c>
      <c r="M51" s="65"/>
      <c r="N51" s="65"/>
      <c r="O51" s="65"/>
      <c r="P51" s="65"/>
      <c r="Q51" s="65">
        <f>RANK(L51,$L$4:$L$51,1)</f>
        <v>5</v>
      </c>
      <c r="R51" s="65">
        <f>COUNTIF($Q$4:$Q$51,Q51)</f>
        <v>2</v>
      </c>
      <c r="S51" s="245"/>
      <c r="T51" s="245"/>
      <c r="U51" s="245">
        <f>L51+(G51/100000)</f>
        <v>14.00005</v>
      </c>
      <c r="V51" s="65"/>
      <c r="W51" s="65"/>
      <c r="X51" s="65">
        <f>RANK(U51,$U$4:$U$51,1)</f>
        <v>5</v>
      </c>
      <c r="Y51" s="62">
        <f t="shared" si="0"/>
        <v>14</v>
      </c>
      <c r="Z51" s="48">
        <f>IF(R51=1,Q51,X51)</f>
        <v>5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</sheetData>
  <sheetProtection/>
  <mergeCells count="10">
    <mergeCell ref="C1:C3"/>
    <mergeCell ref="D1:D3"/>
    <mergeCell ref="C4:C9"/>
    <mergeCell ref="C10:C15"/>
    <mergeCell ref="C16:C21"/>
    <mergeCell ref="C28:C33"/>
    <mergeCell ref="C34:C39"/>
    <mergeCell ref="C40:C45"/>
    <mergeCell ref="C46:C51"/>
    <mergeCell ref="C22:C27"/>
  </mergeCells>
  <conditionalFormatting sqref="Z4:Z51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" right="0.7" top="0.787401575" bottom="0.787401575" header="0" footer="0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7"/>
  <sheetViews>
    <sheetView showGridLines="0" tabSelected="1" zoomScalePageLayoutView="0" workbookViewId="0" topLeftCell="A1">
      <selection activeCell="N10" sqref="N10"/>
    </sheetView>
  </sheetViews>
  <sheetFormatPr defaultColWidth="14.421875" defaultRowHeight="15" customHeight="1"/>
  <cols>
    <col min="1" max="1" width="3.140625" style="0" customWidth="1"/>
    <col min="2" max="2" width="21.421875" style="0" customWidth="1"/>
    <col min="3" max="5" width="8.7109375" style="0" customWidth="1"/>
    <col min="6" max="6" width="12.57421875" style="0" customWidth="1"/>
    <col min="7" max="10" width="12.57421875" style="250" hidden="1" customWidth="1"/>
    <col min="11" max="11" width="12.57421875" style="0" customWidth="1"/>
    <col min="12" max="30" width="8.7109375" style="0" customWidth="1"/>
  </cols>
  <sheetData>
    <row r="1" ht="14.25" customHeight="1"/>
    <row r="2" spans="2:11" ht="26.25" customHeight="1">
      <c r="B2" s="390" t="s">
        <v>57</v>
      </c>
      <c r="C2" s="389"/>
      <c r="D2" s="389"/>
      <c r="E2" s="389"/>
      <c r="F2" s="389"/>
      <c r="G2" s="389"/>
      <c r="H2" s="389"/>
      <c r="I2" s="389"/>
      <c r="J2" s="389"/>
      <c r="K2" s="389"/>
    </row>
    <row r="3" ht="14.25" customHeight="1" thickBot="1"/>
    <row r="4" spans="2:11" ht="22.5" customHeight="1" thickBot="1">
      <c r="B4" s="31" t="s">
        <v>0</v>
      </c>
      <c r="C4" s="32" t="s">
        <v>54</v>
      </c>
      <c r="D4" s="32" t="s">
        <v>55</v>
      </c>
      <c r="E4" s="32" t="s">
        <v>56</v>
      </c>
      <c r="F4" s="32" t="s">
        <v>58</v>
      </c>
      <c r="G4" s="253" t="s">
        <v>157</v>
      </c>
      <c r="H4" s="253" t="s">
        <v>158</v>
      </c>
      <c r="I4" s="253" t="s">
        <v>159</v>
      </c>
      <c r="J4" s="253" t="s">
        <v>160</v>
      </c>
      <c r="K4" s="33" t="s">
        <v>13</v>
      </c>
    </row>
    <row r="5" spans="2:11" ht="33.75" customHeight="1">
      <c r="B5" s="178" t="str">
        <f>IF('Jmený seznam'!D5,'Jmený seznam'!C5)</f>
        <v>Město Praha</v>
      </c>
      <c r="C5" s="179">
        <f>IF(RZ!$BA$52=8,"",RZ!BA4)</f>
        <v>5</v>
      </c>
      <c r="D5" s="179">
        <f>IF(LRU!$AZ$53=0,"",LRU!AZ5)</f>
        <v>5</v>
      </c>
      <c r="E5" s="179">
        <f>IF(RT!$Z$53=8,"",RT!Z5)</f>
        <v>7</v>
      </c>
      <c r="F5" s="179">
        <f>SUM(C5,D5,E5)</f>
        <v>17</v>
      </c>
      <c r="G5" s="254">
        <f>RANK(F5,$F$5:$F$12,1)</f>
        <v>6</v>
      </c>
      <c r="H5" s="257">
        <f>COUNTIF($G$5:$G$12,G5)</f>
        <v>1</v>
      </c>
      <c r="I5" s="257">
        <f>G5+(C5/10000000)</f>
        <v>6.0000005</v>
      </c>
      <c r="J5" s="254">
        <f>RANK(I5,$I$5:$I$12,1)</f>
        <v>6</v>
      </c>
      <c r="K5" s="180">
        <f>IF($G$13=8,"",IF(H5=1,G5,J5))</f>
        <v>6</v>
      </c>
    </row>
    <row r="6" spans="2:11" ht="33.75" customHeight="1">
      <c r="B6" s="181" t="str">
        <f>IF('Jmený seznam'!D11,'Jmený seznam'!C11)</f>
        <v>Moravskoslezský</v>
      </c>
      <c r="C6" s="177">
        <f>IF(RZ!$BA$52=8,"",RZ!BA10)</f>
        <v>1</v>
      </c>
      <c r="D6" s="177">
        <f>IF(LRU!$AZ$53=0,"",LRU!AZ11)</f>
        <v>3</v>
      </c>
      <c r="E6" s="177">
        <f>IF(RT!$Z$53=8,"",RT!Z11)</f>
        <v>2</v>
      </c>
      <c r="F6" s="177">
        <f>SUM(C6,D6,E6)</f>
        <v>6</v>
      </c>
      <c r="G6" s="255">
        <f aca="true" t="shared" si="0" ref="G6:G12">RANK(F6,$F$5:$F$12,1)</f>
        <v>1</v>
      </c>
      <c r="H6" s="258">
        <f aca="true" t="shared" si="1" ref="H6:H12">COUNTIF($G$5:$G$12,G6)</f>
        <v>2</v>
      </c>
      <c r="I6" s="258">
        <f aca="true" t="shared" si="2" ref="I6:I12">G6+(C6/10000000)</f>
        <v>1.0000001</v>
      </c>
      <c r="J6" s="255">
        <f aca="true" t="shared" si="3" ref="J6:J12">RANK(I6,$I$5:$I$12,1)</f>
        <v>1</v>
      </c>
      <c r="K6" s="182">
        <f>IF($G$13=8,"",IF(H6=1,G6,J6))</f>
        <v>1</v>
      </c>
    </row>
    <row r="7" spans="2:11" ht="33.75" customHeight="1">
      <c r="B7" s="181" t="str">
        <f>IF('Jmený seznam'!D17,'Jmený seznam'!C17)</f>
        <v>Západočeský</v>
      </c>
      <c r="C7" s="177">
        <f>IF(RZ!$BA$52=8,"",RZ!BA16)</f>
        <v>2</v>
      </c>
      <c r="D7" s="177">
        <f>IF(LRU!$AZ$53=0,"",LRU!AZ17)</f>
        <v>1</v>
      </c>
      <c r="E7" s="177">
        <f>IF(RT!$Z$53=8,"",RT!Z17)</f>
        <v>3</v>
      </c>
      <c r="F7" s="177">
        <f>SUM(C7,D7,E7)</f>
        <v>6</v>
      </c>
      <c r="G7" s="255">
        <f t="shared" si="0"/>
        <v>1</v>
      </c>
      <c r="H7" s="258">
        <f t="shared" si="1"/>
        <v>2</v>
      </c>
      <c r="I7" s="258">
        <f t="shared" si="2"/>
        <v>1.0000002</v>
      </c>
      <c r="J7" s="255">
        <f t="shared" si="3"/>
        <v>2</v>
      </c>
      <c r="K7" s="182">
        <f aca="true" t="shared" si="4" ref="K7:K12">IF($G$13=8,"",IF(H7=1,G7,J7))</f>
        <v>2</v>
      </c>
    </row>
    <row r="8" spans="2:11" ht="33.75" customHeight="1">
      <c r="B8" s="181" t="str">
        <f>IF('Jmený seznam'!D23,'Jmený seznam'!C23)</f>
        <v>MRS Brno</v>
      </c>
      <c r="C8" s="177">
        <f>IF(RZ!$BA$52=8,"",RZ!BA22)</f>
        <v>3</v>
      </c>
      <c r="D8" s="177">
        <f>IF(LRU!$AZ$53=0,"",LRU!AZ23)</f>
        <v>4</v>
      </c>
      <c r="E8" s="177">
        <f>IF(RT!$Z$53=8,"",RT!Z23)</f>
        <v>1</v>
      </c>
      <c r="F8" s="177">
        <f>SUM(C8,D8,E8)</f>
        <v>8</v>
      </c>
      <c r="G8" s="255">
        <f t="shared" si="0"/>
        <v>3</v>
      </c>
      <c r="H8" s="258">
        <f t="shared" si="1"/>
        <v>1</v>
      </c>
      <c r="I8" s="258">
        <f t="shared" si="2"/>
        <v>3.0000003</v>
      </c>
      <c r="J8" s="255">
        <f t="shared" si="3"/>
        <v>3</v>
      </c>
      <c r="K8" s="182">
        <f t="shared" si="4"/>
        <v>3</v>
      </c>
    </row>
    <row r="9" spans="1:12" ht="33.75" customHeight="1">
      <c r="A9" s="1"/>
      <c r="B9" s="181" t="str">
        <f>IF('Jmený seznam'!D29,'Jmený seznam'!C29)</f>
        <v>Východočeský</v>
      </c>
      <c r="C9" s="177">
        <f>IF(RZ!$BA$52=8,"",RZ!BA28)</f>
        <v>7</v>
      </c>
      <c r="D9" s="177">
        <f>IF(LRU!$AZ$53=0,"",LRU!AZ29)</f>
        <v>2</v>
      </c>
      <c r="E9" s="177">
        <f>IF(RT!$Z$53=8,"",RT!Z29)</f>
        <v>6</v>
      </c>
      <c r="F9" s="177">
        <f>SUM(C9,D9,E9)</f>
        <v>15</v>
      </c>
      <c r="G9" s="255">
        <f t="shared" si="0"/>
        <v>4</v>
      </c>
      <c r="H9" s="258">
        <f t="shared" si="1"/>
        <v>2</v>
      </c>
      <c r="I9" s="258">
        <f t="shared" si="2"/>
        <v>4.0000007</v>
      </c>
      <c r="J9" s="255">
        <f t="shared" si="3"/>
        <v>5</v>
      </c>
      <c r="K9" s="182">
        <f t="shared" si="4"/>
        <v>5</v>
      </c>
      <c r="L9" s="1"/>
    </row>
    <row r="10" spans="1:12" ht="33.75" customHeight="1">
      <c r="A10" s="1"/>
      <c r="B10" s="181" t="str">
        <f>IF('Jmený seznam'!D35,'Jmený seznam'!C35)</f>
        <v>Severočeský</v>
      </c>
      <c r="C10" s="177">
        <f>IF(RZ!$BA$52=8,"",RZ!BA34)</f>
        <v>8</v>
      </c>
      <c r="D10" s="177">
        <f>IF(LRU!$AZ$53=0,"",LRU!AZ35)</f>
        <v>8</v>
      </c>
      <c r="E10" s="177">
        <f>IF(RT!$Z$53=8,"",RT!Z35)</f>
        <v>5</v>
      </c>
      <c r="F10" s="177">
        <f>SUM(C10,D10,E10)</f>
        <v>21</v>
      </c>
      <c r="G10" s="255">
        <f t="shared" si="0"/>
        <v>8</v>
      </c>
      <c r="H10" s="258">
        <f t="shared" si="1"/>
        <v>1</v>
      </c>
      <c r="I10" s="258">
        <f t="shared" si="2"/>
        <v>8.0000008</v>
      </c>
      <c r="J10" s="255">
        <f t="shared" si="3"/>
        <v>8</v>
      </c>
      <c r="K10" s="182">
        <f t="shared" si="4"/>
        <v>8</v>
      </c>
      <c r="L10" s="1"/>
    </row>
    <row r="11" spans="1:12" ht="33.75" customHeight="1">
      <c r="A11" s="1"/>
      <c r="B11" s="181" t="str">
        <f>IF('Jmený seznam'!D41,'Jmený seznam'!C41)</f>
        <v>Středočeský</v>
      </c>
      <c r="C11" s="177">
        <f>IF(RZ!$BA$52=8,"",RZ!BA40)</f>
        <v>6</v>
      </c>
      <c r="D11" s="177">
        <f>IF(LRU!$AZ$53=0,"",LRU!AZ41)</f>
        <v>6</v>
      </c>
      <c r="E11" s="177">
        <f>IF(RT!$Z$53=8,"",RT!Z41)</f>
        <v>8</v>
      </c>
      <c r="F11" s="177">
        <f>SUM(C11,D11,E11)</f>
        <v>20</v>
      </c>
      <c r="G11" s="255">
        <f t="shared" si="0"/>
        <v>7</v>
      </c>
      <c r="H11" s="258">
        <f t="shared" si="1"/>
        <v>1</v>
      </c>
      <c r="I11" s="258">
        <f t="shared" si="2"/>
        <v>7.0000006</v>
      </c>
      <c r="J11" s="255">
        <f t="shared" si="3"/>
        <v>7</v>
      </c>
      <c r="K11" s="182">
        <f t="shared" si="4"/>
        <v>7</v>
      </c>
      <c r="L11" s="1"/>
    </row>
    <row r="12" spans="1:12" ht="33.75" customHeight="1" thickBot="1">
      <c r="A12" s="1"/>
      <c r="B12" s="183" t="str">
        <f>IF('Jmený seznam'!D47,'Jmený seznam'!C47)</f>
        <v>Jihočeský</v>
      </c>
      <c r="C12" s="184">
        <f>IF(RZ!$BA$52=8,"",RZ!BA46)</f>
        <v>4</v>
      </c>
      <c r="D12" s="184">
        <f>IF(LRU!$AZ$53=0,"",LRU!AZ47)</f>
        <v>7</v>
      </c>
      <c r="E12" s="184">
        <f>IF(RT!$Z$53=8,"",RT!Z47)</f>
        <v>4</v>
      </c>
      <c r="F12" s="184">
        <f>SUM(C12,D12,E12)</f>
        <v>15</v>
      </c>
      <c r="G12" s="256">
        <f t="shared" si="0"/>
        <v>4</v>
      </c>
      <c r="H12" s="259">
        <f t="shared" si="1"/>
        <v>2</v>
      </c>
      <c r="I12" s="259">
        <f t="shared" si="2"/>
        <v>4.0000004</v>
      </c>
      <c r="J12" s="256">
        <f t="shared" si="3"/>
        <v>4</v>
      </c>
      <c r="K12" s="185">
        <f t="shared" si="4"/>
        <v>4</v>
      </c>
      <c r="L12" s="1"/>
    </row>
    <row r="13" spans="1:12" ht="33.75" customHeight="1">
      <c r="A13" s="1"/>
      <c r="B13" s="1"/>
      <c r="C13" s="1"/>
      <c r="D13" s="119"/>
      <c r="E13" s="119"/>
      <c r="F13" s="1"/>
      <c r="G13" s="272">
        <f>SUM(G5:G12)</f>
        <v>34</v>
      </c>
      <c r="H13" s="270"/>
      <c r="I13" s="269"/>
      <c r="J13" s="269"/>
      <c r="K13" s="1"/>
      <c r="L13" s="1"/>
    </row>
    <row r="14" spans="7:10" ht="14.25" customHeight="1">
      <c r="G14" s="271"/>
      <c r="H14" s="271"/>
      <c r="I14" s="212"/>
      <c r="J14" s="212"/>
    </row>
    <row r="15" spans="7:10" ht="14.25" customHeight="1">
      <c r="G15" s="212"/>
      <c r="H15" s="212"/>
      <c r="I15" s="212"/>
      <c r="J15" s="212"/>
    </row>
    <row r="16" spans="7:10" ht="14.25" customHeight="1">
      <c r="G16" s="212"/>
      <c r="H16" s="212"/>
      <c r="I16" s="212"/>
      <c r="J16" s="212"/>
    </row>
    <row r="17" spans="7:10" ht="14.25" customHeight="1">
      <c r="G17" s="212"/>
      <c r="H17" s="212"/>
      <c r="I17" s="212"/>
      <c r="J17" s="212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</sheetData>
  <sheetProtection/>
  <mergeCells count="1">
    <mergeCell ref="B2:K2"/>
  </mergeCells>
  <conditionalFormatting sqref="K5:K12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" right="0.7" top="0.787401575" bottom="0.78740157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0.85546875" style="278" customWidth="1"/>
    <col min="3" max="3" width="25.7109375" style="0" customWidth="1"/>
    <col min="4" max="6" width="18.7109375" style="0" customWidth="1"/>
  </cols>
  <sheetData>
    <row r="2" ht="15.75" thickBot="1"/>
    <row r="3" spans="2:6" ht="27" thickBot="1">
      <c r="B3" s="297" t="s">
        <v>167</v>
      </c>
      <c r="C3" s="296" t="s">
        <v>164</v>
      </c>
      <c r="D3" s="294" t="s">
        <v>165</v>
      </c>
      <c r="E3" s="294" t="s">
        <v>47</v>
      </c>
      <c r="F3" s="295" t="s">
        <v>166</v>
      </c>
    </row>
    <row r="4" spans="2:6" ht="21">
      <c r="B4" s="300">
        <v>1</v>
      </c>
      <c r="C4" s="289" t="str">
        <f>VLOOKUP(B4,'Jmený seznam'!$D$5:$F$52,2,FALSE)</f>
        <v>Hurníková Martina</v>
      </c>
      <c r="D4" s="290"/>
      <c r="E4" s="290"/>
      <c r="F4" s="291"/>
    </row>
    <row r="5" spans="2:6" ht="21">
      <c r="B5" s="301">
        <v>19</v>
      </c>
      <c r="C5" s="284" t="str">
        <f>VLOOKUP(B5,'Jmený seznam'!$D$5:$F$52,2,FALSE)</f>
        <v>Honzírek Ondřej</v>
      </c>
      <c r="D5" s="280"/>
      <c r="E5" s="280"/>
      <c r="F5" s="281"/>
    </row>
    <row r="6" spans="2:6" ht="21">
      <c r="B6" s="301">
        <v>37</v>
      </c>
      <c r="C6" s="284" t="str">
        <f>VLOOKUP(B6,'Jmený seznam'!$D$5:$F$52,2,FALSE)</f>
        <v>Červenková Jana</v>
      </c>
      <c r="D6" s="280"/>
      <c r="E6" s="280"/>
      <c r="F6" s="281"/>
    </row>
    <row r="7" spans="2:6" ht="21">
      <c r="B7" s="301">
        <v>14</v>
      </c>
      <c r="C7" s="284" t="str">
        <f>VLOOKUP(B7,'Jmený seznam'!$D$5:$F$52,2,FALSE)</f>
        <v>Schleiss Stanislav</v>
      </c>
      <c r="D7" s="280"/>
      <c r="E7" s="280"/>
      <c r="F7" s="281"/>
    </row>
    <row r="8" spans="2:6" ht="21">
      <c r="B8" s="301">
        <v>32</v>
      </c>
      <c r="C8" s="284" t="str">
        <f>VLOOKUP(B8,'Jmený seznam'!$D$5:$F$52,2,FALSE)</f>
        <v>Knobloch Jan</v>
      </c>
      <c r="D8" s="280"/>
      <c r="E8" s="280"/>
      <c r="F8" s="281"/>
    </row>
    <row r="9" spans="2:6" ht="21">
      <c r="B9" s="301">
        <v>9</v>
      </c>
      <c r="C9" s="284" t="str">
        <f>VLOOKUP(B9,'Jmený seznam'!$D$5:$F$52,2,FALSE)</f>
        <v>Wróblová Taťána</v>
      </c>
      <c r="D9" s="280"/>
      <c r="E9" s="280"/>
      <c r="F9" s="281"/>
    </row>
    <row r="10" spans="2:6" ht="21">
      <c r="B10" s="301">
        <v>27</v>
      </c>
      <c r="C10" s="284" t="str">
        <f>VLOOKUP(B10,'Jmený seznam'!$D$5:$F$52,2,FALSE)</f>
        <v>Mencl Michal</v>
      </c>
      <c r="D10" s="280"/>
      <c r="E10" s="280"/>
      <c r="F10" s="281"/>
    </row>
    <row r="11" spans="2:6" ht="21">
      <c r="B11" s="301">
        <v>45</v>
      </c>
      <c r="C11" s="284" t="str">
        <f>VLOOKUP(B11,'Jmený seznam'!$D$5:$F$52,2,FALSE)</f>
        <v>Nusko Petr</v>
      </c>
      <c r="D11" s="280"/>
      <c r="E11" s="280"/>
      <c r="F11" s="281"/>
    </row>
    <row r="12" spans="2:6" ht="21">
      <c r="B12" s="301">
        <v>4</v>
      </c>
      <c r="C12" s="284" t="str">
        <f>VLOOKUP(B12,'Jmený seznam'!$D$5:$F$52,2,FALSE)</f>
        <v>Těšínský Jindřich</v>
      </c>
      <c r="D12" s="280"/>
      <c r="E12" s="280"/>
      <c r="F12" s="281"/>
    </row>
    <row r="13" spans="2:6" ht="21">
      <c r="B13" s="301">
        <v>22</v>
      </c>
      <c r="C13" s="284" t="str">
        <f>VLOOKUP(B13,'Jmený seznam'!$D$5:$F$52,2,FALSE)</f>
        <v>Juříček Jakub</v>
      </c>
      <c r="D13" s="280"/>
      <c r="E13" s="280"/>
      <c r="F13" s="281"/>
    </row>
    <row r="14" spans="2:6" ht="21">
      <c r="B14" s="301">
        <v>40</v>
      </c>
      <c r="C14" s="284" t="str">
        <f>VLOOKUP(B14,'Jmený seznam'!$D$5:$F$52,2,FALSE)</f>
        <v>Dvořák Matěj</v>
      </c>
      <c r="D14" s="280"/>
      <c r="E14" s="280"/>
      <c r="F14" s="281"/>
    </row>
    <row r="15" spans="2:6" ht="21">
      <c r="B15" s="301">
        <v>17</v>
      </c>
      <c r="C15" s="284" t="str">
        <f>VLOOKUP(B15,'Jmený seznam'!$D$5:$F$52,2,FALSE)</f>
        <v>Hynčíková Nina</v>
      </c>
      <c r="D15" s="280"/>
      <c r="E15" s="280"/>
      <c r="F15" s="281"/>
    </row>
    <row r="16" spans="2:6" ht="21">
      <c r="B16" s="301">
        <v>29</v>
      </c>
      <c r="C16" s="284" t="str">
        <f>VLOOKUP(B16,'Jmený seznam'!$D$5:$F$52,2,FALSE)</f>
        <v>Šimůnková Markéta</v>
      </c>
      <c r="D16" s="280"/>
      <c r="E16" s="280"/>
      <c r="F16" s="281"/>
    </row>
    <row r="17" spans="2:6" ht="21">
      <c r="B17" s="301">
        <v>12</v>
      </c>
      <c r="C17" s="284" t="str">
        <f>VLOOKUP(B17,'Jmený seznam'!$D$5:$F$52,2,FALSE)</f>
        <v>Tichý Štefan</v>
      </c>
      <c r="D17" s="280"/>
      <c r="E17" s="280"/>
      <c r="F17" s="281"/>
    </row>
    <row r="18" spans="2:6" ht="21">
      <c r="B18" s="301">
        <v>36</v>
      </c>
      <c r="C18" s="284" t="str">
        <f>VLOOKUP(B18,'Jmený seznam'!$D$5:$F$52,2,FALSE)</f>
        <v>Žejdl Ondřej</v>
      </c>
      <c r="D18" s="280"/>
      <c r="E18" s="280"/>
      <c r="F18" s="281"/>
    </row>
    <row r="19" spans="2:6" ht="21">
      <c r="B19" s="301">
        <v>48</v>
      </c>
      <c r="C19" s="284" t="str">
        <f>VLOOKUP(B19,'Jmený seznam'!$D$5:$F$52,2,FALSE)</f>
        <v>Sepekář Milan</v>
      </c>
      <c r="D19" s="280"/>
      <c r="E19" s="280"/>
      <c r="F19" s="281"/>
    </row>
    <row r="20" spans="2:6" ht="21">
      <c r="B20" s="301"/>
      <c r="C20" s="284"/>
      <c r="D20" s="280"/>
      <c r="E20" s="280"/>
      <c r="F20" s="281"/>
    </row>
    <row r="21" spans="2:6" ht="21">
      <c r="B21" s="301"/>
      <c r="C21" s="284"/>
      <c r="D21" s="280"/>
      <c r="E21" s="280"/>
      <c r="F21" s="281"/>
    </row>
    <row r="22" spans="2:6" ht="21">
      <c r="B22" s="301"/>
      <c r="C22" s="284"/>
      <c r="D22" s="280"/>
      <c r="E22" s="280"/>
      <c r="F22" s="281"/>
    </row>
    <row r="23" spans="2:6" ht="21">
      <c r="B23" s="301"/>
      <c r="C23" s="284"/>
      <c r="D23" s="280"/>
      <c r="E23" s="280"/>
      <c r="F23" s="281"/>
    </row>
    <row r="24" spans="2:6" ht="21">
      <c r="B24" s="301"/>
      <c r="C24" s="284"/>
      <c r="D24" s="280"/>
      <c r="E24" s="280"/>
      <c r="F24" s="281"/>
    </row>
    <row r="25" spans="2:6" ht="21">
      <c r="B25" s="301"/>
      <c r="C25" s="284"/>
      <c r="D25" s="280"/>
      <c r="E25" s="280"/>
      <c r="F25" s="281"/>
    </row>
    <row r="26" spans="2:6" ht="21">
      <c r="B26" s="301"/>
      <c r="C26" s="284"/>
      <c r="D26" s="280"/>
      <c r="E26" s="280"/>
      <c r="F26" s="281"/>
    </row>
    <row r="27" spans="2:6" ht="21">
      <c r="B27" s="301"/>
      <c r="C27" s="284"/>
      <c r="D27" s="280"/>
      <c r="E27" s="280"/>
      <c r="F27" s="281"/>
    </row>
    <row r="28" spans="2:6" ht="21.75" thickBot="1">
      <c r="B28" s="302"/>
      <c r="C28" s="285"/>
      <c r="D28" s="282"/>
      <c r="E28" s="282"/>
      <c r="F28" s="283"/>
    </row>
  </sheetData>
  <sheetProtection/>
  <printOptions/>
  <pageMargins left="0.47" right="0.39" top="0.787401575" bottom="0.7874015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4">
      <selection activeCell="J8" sqref="J8"/>
    </sheetView>
  </sheetViews>
  <sheetFormatPr defaultColWidth="9.140625" defaultRowHeight="15"/>
  <cols>
    <col min="1" max="1" width="0.85546875" style="278" customWidth="1"/>
    <col min="2" max="2" width="9.140625" style="278" customWidth="1"/>
    <col min="3" max="3" width="25.7109375" style="278" customWidth="1"/>
    <col min="4" max="6" width="18.7109375" style="278" customWidth="1"/>
    <col min="7" max="16384" width="9.140625" style="278" customWidth="1"/>
  </cols>
  <sheetData>
    <row r="2" ht="15.75" thickBot="1"/>
    <row r="3" spans="2:6" ht="27" thickBot="1">
      <c r="B3" s="297" t="s">
        <v>167</v>
      </c>
      <c r="C3" s="296" t="s">
        <v>164</v>
      </c>
      <c r="D3" s="294" t="s">
        <v>165</v>
      </c>
      <c r="E3" s="294" t="s">
        <v>47</v>
      </c>
      <c r="F3" s="295" t="s">
        <v>166</v>
      </c>
    </row>
    <row r="4" spans="2:6" ht="21">
      <c r="B4" s="300">
        <v>7</v>
      </c>
      <c r="C4" s="289" t="str">
        <f>VLOOKUP(B4,'Jmený seznam'!$D$5:$F$52,2,FALSE)</f>
        <v>Dresler Dominik</v>
      </c>
      <c r="D4" s="290"/>
      <c r="E4" s="290"/>
      <c r="F4" s="291"/>
    </row>
    <row r="5" spans="2:6" ht="21">
      <c r="B5" s="301">
        <v>25</v>
      </c>
      <c r="C5" s="284" t="str">
        <f>VLOOKUP(B5,'Jmený seznam'!$D$5:$F$52,2,FALSE)</f>
        <v>Hašek Marek</v>
      </c>
      <c r="D5" s="280"/>
      <c r="E5" s="280"/>
      <c r="F5" s="281"/>
    </row>
    <row r="6" spans="2:6" ht="21">
      <c r="B6" s="301">
        <v>43</v>
      </c>
      <c r="C6" s="284" t="str">
        <f>VLOOKUP(B6,'Jmený seznam'!$D$5:$F$52,2,FALSE)</f>
        <v>Strupek Matěj</v>
      </c>
      <c r="D6" s="280"/>
      <c r="E6" s="280"/>
      <c r="F6" s="281"/>
    </row>
    <row r="7" spans="2:6" ht="21">
      <c r="B7" s="301">
        <v>2</v>
      </c>
      <c r="C7" s="284" t="str">
        <f>VLOOKUP(B7,'Jmený seznam'!$D$5:$F$52,2,FALSE)</f>
        <v>Hurníková Markéta</v>
      </c>
      <c r="D7" s="280"/>
      <c r="E7" s="280"/>
      <c r="F7" s="281"/>
    </row>
    <row r="8" spans="2:6" ht="21">
      <c r="B8" s="301">
        <v>20</v>
      </c>
      <c r="C8" s="284" t="str">
        <f>VLOOKUP(B8,'Jmený seznam'!$D$5:$F$52,2,FALSE)</f>
        <v>Bombera Jan</v>
      </c>
      <c r="D8" s="280"/>
      <c r="E8" s="280"/>
      <c r="F8" s="281"/>
    </row>
    <row r="9" spans="2:6" ht="21">
      <c r="B9" s="301">
        <v>38</v>
      </c>
      <c r="C9" s="284" t="str">
        <f>VLOOKUP(B9,'Jmený seznam'!$D$5:$F$52,2,FALSE)</f>
        <v>Červenka Jiří</v>
      </c>
      <c r="D9" s="280"/>
      <c r="E9" s="280"/>
      <c r="F9" s="281"/>
    </row>
    <row r="10" spans="2:6" ht="21">
      <c r="B10" s="301">
        <v>15</v>
      </c>
      <c r="C10" s="284" t="str">
        <f>VLOOKUP(B10,'Jmený seznam'!$D$5:$F$52,2,FALSE)</f>
        <v>Vejvančický Matěj</v>
      </c>
      <c r="D10" s="280"/>
      <c r="E10" s="280"/>
      <c r="F10" s="281"/>
    </row>
    <row r="11" spans="2:6" ht="21">
      <c r="B11" s="301">
        <v>33</v>
      </c>
      <c r="C11" s="284" t="str">
        <f>VLOOKUP(B11,'Jmený seznam'!$D$5:$F$52,2,FALSE)</f>
        <v>Richter Jiří</v>
      </c>
      <c r="D11" s="280"/>
      <c r="E11" s="280"/>
      <c r="F11" s="281"/>
    </row>
    <row r="12" spans="2:6" ht="21">
      <c r="B12" s="301">
        <v>10</v>
      </c>
      <c r="C12" s="284" t="str">
        <f>VLOOKUP(B12,'Jmený seznam'!$D$5:$F$52,2,FALSE)</f>
        <v>Zemánková Johanka</v>
      </c>
      <c r="D12" s="280"/>
      <c r="E12" s="280"/>
      <c r="F12" s="281"/>
    </row>
    <row r="13" spans="2:6" ht="21">
      <c r="B13" s="301">
        <v>34</v>
      </c>
      <c r="C13" s="284" t="str">
        <f>VLOOKUP(B13,'Jmený seznam'!$D$5:$F$52,2,FALSE)</f>
        <v>Farský Jaromír</v>
      </c>
      <c r="D13" s="280"/>
      <c r="E13" s="280"/>
      <c r="F13" s="281"/>
    </row>
    <row r="14" spans="2:6" ht="21">
      <c r="B14" s="301">
        <v>46</v>
      </c>
      <c r="C14" s="284" t="str">
        <f>VLOOKUP(B14,'Jmený seznam'!$D$5:$F$52,2,FALSE)</f>
        <v>Benešová Karolína</v>
      </c>
      <c r="D14" s="280"/>
      <c r="E14" s="280"/>
      <c r="F14" s="281"/>
    </row>
    <row r="15" spans="2:6" ht="21">
      <c r="B15" s="301">
        <v>5</v>
      </c>
      <c r="C15" s="284" t="str">
        <f>VLOOKUP(B15,'Jmený seznam'!$D$5:$F$52,2,FALSE)</f>
        <v>Tvrdá Nikola</v>
      </c>
      <c r="D15" s="280"/>
      <c r="E15" s="280"/>
      <c r="F15" s="281"/>
    </row>
    <row r="16" spans="2:6" ht="21">
      <c r="B16" s="301">
        <v>41</v>
      </c>
      <c r="C16" s="284" t="str">
        <f>VLOOKUP(B16,'Jmený seznam'!$D$5:$F$52,2,FALSE)</f>
        <v>Caltová Zuzana</v>
      </c>
      <c r="D16" s="280"/>
      <c r="E16" s="280"/>
      <c r="F16" s="281"/>
    </row>
    <row r="17" spans="2:6" ht="21">
      <c r="B17" s="301">
        <v>23</v>
      </c>
      <c r="C17" s="284" t="str">
        <f>VLOOKUP(B17,'Jmený seznam'!$D$5:$F$52,2,FALSE)</f>
        <v>Koblihová Kristýna</v>
      </c>
      <c r="D17" s="280"/>
      <c r="E17" s="280"/>
      <c r="F17" s="281"/>
    </row>
    <row r="18" spans="2:6" ht="21">
      <c r="B18" s="301">
        <v>18</v>
      </c>
      <c r="C18" s="284" t="str">
        <f>VLOOKUP(B18,'Jmený seznam'!$D$5:$F$52,2,FALSE)</f>
        <v>Holub Ondřej</v>
      </c>
      <c r="D18" s="280"/>
      <c r="E18" s="280"/>
      <c r="F18" s="281"/>
    </row>
    <row r="19" spans="2:6" ht="21">
      <c r="B19" s="301">
        <v>30</v>
      </c>
      <c r="C19" s="284" t="str">
        <f>VLOOKUP(B19,'Jmený seznam'!$D$5:$F$52,2,FALSE)</f>
        <v>Vejs David</v>
      </c>
      <c r="D19" s="280"/>
      <c r="E19" s="280"/>
      <c r="F19" s="281"/>
    </row>
    <row r="20" spans="2:6" ht="21">
      <c r="B20" s="301"/>
      <c r="C20" s="284"/>
      <c r="D20" s="280"/>
      <c r="E20" s="280"/>
      <c r="F20" s="281"/>
    </row>
    <row r="21" spans="2:6" ht="21">
      <c r="B21" s="301"/>
      <c r="C21" s="284"/>
      <c r="D21" s="280"/>
      <c r="E21" s="280"/>
      <c r="F21" s="281"/>
    </row>
    <row r="22" spans="2:6" ht="21">
      <c r="B22" s="298"/>
      <c r="C22" s="284"/>
      <c r="D22" s="280"/>
      <c r="E22" s="280"/>
      <c r="F22" s="281"/>
    </row>
    <row r="23" spans="2:6" ht="21">
      <c r="B23" s="298"/>
      <c r="C23" s="284"/>
      <c r="D23" s="280"/>
      <c r="E23" s="280"/>
      <c r="F23" s="281"/>
    </row>
    <row r="24" spans="2:6" ht="21">
      <c r="B24" s="298"/>
      <c r="C24" s="284"/>
      <c r="D24" s="280"/>
      <c r="E24" s="280"/>
      <c r="F24" s="281"/>
    </row>
    <row r="25" spans="2:6" ht="21">
      <c r="B25" s="298"/>
      <c r="C25" s="284"/>
      <c r="D25" s="280"/>
      <c r="E25" s="280"/>
      <c r="F25" s="281"/>
    </row>
    <row r="26" spans="2:6" ht="21">
      <c r="B26" s="298"/>
      <c r="C26" s="284"/>
      <c r="D26" s="280"/>
      <c r="E26" s="280"/>
      <c r="F26" s="281"/>
    </row>
    <row r="27" spans="2:6" ht="21">
      <c r="B27" s="298"/>
      <c r="C27" s="284"/>
      <c r="D27" s="280"/>
      <c r="E27" s="280"/>
      <c r="F27" s="281"/>
    </row>
    <row r="28" spans="2:6" ht="21.75" thickBot="1">
      <c r="B28" s="299"/>
      <c r="C28" s="285"/>
      <c r="D28" s="282"/>
      <c r="E28" s="282"/>
      <c r="F28" s="283"/>
    </row>
  </sheetData>
  <sheetProtection/>
  <printOptions/>
  <pageMargins left="0.47" right="0.39" top="0.787401575" bottom="0.7874015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0.85546875" style="278" customWidth="1"/>
    <col min="2" max="2" width="9.140625" style="278" customWidth="1"/>
    <col min="3" max="3" width="25.7109375" style="278" customWidth="1"/>
    <col min="4" max="6" width="18.7109375" style="278" customWidth="1"/>
    <col min="7" max="16384" width="9.140625" style="278" customWidth="1"/>
  </cols>
  <sheetData>
    <row r="2" ht="15.75" thickBot="1"/>
    <row r="3" spans="2:6" ht="27" thickBot="1">
      <c r="B3" s="292" t="s">
        <v>167</v>
      </c>
      <c r="C3" s="293" t="s">
        <v>164</v>
      </c>
      <c r="D3" s="294" t="s">
        <v>165</v>
      </c>
      <c r="E3" s="294" t="s">
        <v>47</v>
      </c>
      <c r="F3" s="295" t="s">
        <v>166</v>
      </c>
    </row>
    <row r="4" spans="2:6" ht="23.25">
      <c r="B4" s="288">
        <v>13</v>
      </c>
      <c r="C4" s="289" t="str">
        <f>VLOOKUP(B4,'Jmený seznam'!$D$5:$F$52,2,FALSE)</f>
        <v>Schleiss Jakub</v>
      </c>
      <c r="D4" s="290"/>
      <c r="E4" s="290"/>
      <c r="F4" s="291"/>
    </row>
    <row r="5" spans="2:6" ht="23.25">
      <c r="B5" s="286">
        <v>31</v>
      </c>
      <c r="C5" s="284" t="str">
        <f>VLOOKUP(B5,'Jmený seznam'!$D$5:$F$52,2,FALSE)</f>
        <v>Merhaut Petr</v>
      </c>
      <c r="D5" s="280"/>
      <c r="E5" s="280"/>
      <c r="F5" s="281"/>
    </row>
    <row r="6" spans="2:6" ht="23.25">
      <c r="B6" s="286">
        <v>8</v>
      </c>
      <c r="C6" s="284" t="str">
        <f>VLOOKUP(B6,'Jmený seznam'!$D$5:$F$52,2,FALSE)</f>
        <v>Bernatík Tomáš</v>
      </c>
      <c r="D6" s="280"/>
      <c r="E6" s="280"/>
      <c r="F6" s="281"/>
    </row>
    <row r="7" spans="2:6" ht="23.25">
      <c r="B7" s="286">
        <v>26</v>
      </c>
      <c r="C7" s="284" t="str">
        <f>VLOOKUP(B7,'Jmený seznam'!$D$5:$F$52,2,FALSE)</f>
        <v>Joneš Jan</v>
      </c>
      <c r="D7" s="280"/>
      <c r="E7" s="280"/>
      <c r="F7" s="281"/>
    </row>
    <row r="8" spans="2:6" ht="23.25">
      <c r="B8" s="286">
        <v>44</v>
      </c>
      <c r="C8" s="284" t="str">
        <f>VLOOKUP(B8,'Jmený seznam'!$D$5:$F$52,2,FALSE)</f>
        <v>Lešek Tomáš</v>
      </c>
      <c r="D8" s="280"/>
      <c r="E8" s="280"/>
      <c r="F8" s="281"/>
    </row>
    <row r="9" spans="2:6" ht="23.25">
      <c r="B9" s="286">
        <v>3</v>
      </c>
      <c r="C9" s="284" t="str">
        <f>VLOOKUP(B9,'Jmený seznam'!$D$5:$F$52,2,FALSE)</f>
        <v>Hurníková Michaela</v>
      </c>
      <c r="D9" s="280"/>
      <c r="E9" s="280"/>
      <c r="F9" s="281"/>
    </row>
    <row r="10" spans="2:6" ht="23.25">
      <c r="B10" s="286">
        <v>21</v>
      </c>
      <c r="C10" s="284" t="str">
        <f>VLOOKUP(B10,'Jmený seznam'!$D$5:$F$52,2,FALSE)</f>
        <v>Traj Robert</v>
      </c>
      <c r="D10" s="280"/>
      <c r="E10" s="280"/>
      <c r="F10" s="281"/>
    </row>
    <row r="11" spans="2:6" ht="23.25">
      <c r="B11" s="286">
        <v>39</v>
      </c>
      <c r="C11" s="284" t="str">
        <f>VLOOKUP(B11,'Jmený seznam'!$D$5:$F$52,2,FALSE)</f>
        <v>Šedivý Vojtěch</v>
      </c>
      <c r="D11" s="280"/>
      <c r="E11" s="280"/>
      <c r="F11" s="281"/>
    </row>
    <row r="12" spans="2:6" ht="23.25">
      <c r="B12" s="286">
        <v>16</v>
      </c>
      <c r="C12" s="284" t="str">
        <f>VLOOKUP(B12,'Jmený seznam'!$D$5:$F$52,2,FALSE)</f>
        <v>Havránek David</v>
      </c>
      <c r="D12" s="280"/>
      <c r="E12" s="280"/>
      <c r="F12" s="281"/>
    </row>
    <row r="13" spans="2:6" ht="23.25">
      <c r="B13" s="286">
        <v>28</v>
      </c>
      <c r="C13" s="284" t="str">
        <f>VLOOKUP(B13,'Jmený seznam'!$D$5:$F$52,2,FALSE)</f>
        <v>Bastl Tomáš</v>
      </c>
      <c r="D13" s="280"/>
      <c r="E13" s="280"/>
      <c r="F13" s="281"/>
    </row>
    <row r="14" spans="2:6" ht="23.25">
      <c r="B14" s="286">
        <v>11</v>
      </c>
      <c r="C14" s="284" t="str">
        <f>VLOOKUP(B14,'Jmený seznam'!$D$5:$F$52,2,FALSE)</f>
        <v>Kepáková Natálie</v>
      </c>
      <c r="D14" s="280"/>
      <c r="E14" s="280"/>
      <c r="F14" s="281"/>
    </row>
    <row r="15" spans="2:6" ht="23.25">
      <c r="B15" s="286">
        <v>35</v>
      </c>
      <c r="C15" s="284" t="str">
        <f>VLOOKUP(B15,'Jmený seznam'!$D$5:$F$52,2,FALSE)</f>
        <v>Kasalová Marie</v>
      </c>
      <c r="D15" s="280"/>
      <c r="E15" s="280"/>
      <c r="F15" s="281"/>
    </row>
    <row r="16" spans="2:6" ht="23.25">
      <c r="B16" s="286">
        <v>47</v>
      </c>
      <c r="C16" s="284" t="str">
        <f>VLOOKUP(B16,'Jmený seznam'!$D$5:$F$52,2,FALSE)</f>
        <v>Tomšíková Veronika</v>
      </c>
      <c r="D16" s="280"/>
      <c r="E16" s="280"/>
      <c r="F16" s="281"/>
    </row>
    <row r="17" spans="2:6" ht="23.25">
      <c r="B17" s="286">
        <v>6</v>
      </c>
      <c r="C17" s="284" t="str">
        <f>VLOOKUP(B17,'Jmený seznam'!$D$5:$F$52,2,FALSE)</f>
        <v>Česenek Jan</v>
      </c>
      <c r="D17" s="280"/>
      <c r="E17" s="280"/>
      <c r="F17" s="281"/>
    </row>
    <row r="18" spans="2:6" ht="23.25">
      <c r="B18" s="286">
        <v>24</v>
      </c>
      <c r="C18" s="284" t="str">
        <f>VLOOKUP(B18,'Jmený seznam'!$D$5:$F$52,2,FALSE)</f>
        <v>Zavadil Radek</v>
      </c>
      <c r="D18" s="280"/>
      <c r="E18" s="280"/>
      <c r="F18" s="281"/>
    </row>
    <row r="19" spans="2:6" ht="23.25">
      <c r="B19" s="286">
        <v>42</v>
      </c>
      <c r="C19" s="284" t="str">
        <f>VLOOKUP(B19,'Jmený seznam'!$D$5:$F$52,2,FALSE)</f>
        <v>Linhart Jan</v>
      </c>
      <c r="D19" s="280"/>
      <c r="E19" s="280"/>
      <c r="F19" s="281"/>
    </row>
    <row r="20" spans="2:6" ht="23.25">
      <c r="B20" s="286"/>
      <c r="C20" s="284"/>
      <c r="D20" s="280"/>
      <c r="E20" s="280"/>
      <c r="F20" s="281"/>
    </row>
    <row r="21" spans="2:6" ht="23.25">
      <c r="B21" s="286"/>
      <c r="C21" s="284"/>
      <c r="D21" s="280"/>
      <c r="E21" s="280"/>
      <c r="F21" s="281"/>
    </row>
    <row r="22" spans="2:6" ht="23.25">
      <c r="B22" s="286"/>
      <c r="C22" s="284"/>
      <c r="D22" s="280"/>
      <c r="E22" s="280"/>
      <c r="F22" s="281"/>
    </row>
    <row r="23" spans="2:6" ht="23.25">
      <c r="B23" s="286"/>
      <c r="C23" s="284"/>
      <c r="D23" s="280"/>
      <c r="E23" s="280"/>
      <c r="F23" s="281"/>
    </row>
    <row r="24" spans="2:6" ht="23.25">
      <c r="B24" s="286"/>
      <c r="C24" s="284"/>
      <c r="D24" s="280"/>
      <c r="E24" s="280"/>
      <c r="F24" s="281"/>
    </row>
    <row r="25" spans="2:6" ht="23.25">
      <c r="B25" s="286"/>
      <c r="C25" s="284"/>
      <c r="D25" s="280"/>
      <c r="E25" s="280"/>
      <c r="F25" s="281"/>
    </row>
    <row r="26" spans="2:6" ht="23.25">
      <c r="B26" s="286"/>
      <c r="C26" s="284"/>
      <c r="D26" s="280"/>
      <c r="E26" s="280"/>
      <c r="F26" s="281"/>
    </row>
    <row r="27" spans="2:6" ht="23.25">
      <c r="B27" s="286"/>
      <c r="C27" s="284"/>
      <c r="D27" s="280"/>
      <c r="E27" s="280"/>
      <c r="F27" s="281"/>
    </row>
    <row r="28" spans="2:6" ht="24" thickBot="1">
      <c r="B28" s="287"/>
      <c r="C28" s="285"/>
      <c r="D28" s="282"/>
      <c r="E28" s="282"/>
      <c r="F28" s="283"/>
    </row>
  </sheetData>
  <sheetProtection/>
  <printOptions/>
  <pageMargins left="0.47" right="0.39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kontrola2</dc:creator>
  <cp:keywords/>
  <dc:description/>
  <cp:lastModifiedBy>P.Hnízdilová</cp:lastModifiedBy>
  <cp:lastPrinted>2019-06-24T07:10:19Z</cp:lastPrinted>
  <dcterms:created xsi:type="dcterms:W3CDTF">2019-06-17T22:44:10Z</dcterms:created>
  <dcterms:modified xsi:type="dcterms:W3CDTF">2019-06-24T07:10:53Z</dcterms:modified>
  <cp:category/>
  <cp:version/>
  <cp:contentType/>
  <cp:contentStatus/>
</cp:coreProperties>
</file>