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activeTab="2"/>
  </bookViews>
  <sheets>
    <sheet name="Základní list" sheetId="1" r:id="rId1"/>
    <sheet name="Druzstva" sheetId="2" r:id="rId2"/>
    <sheet name="Výsledková listina" sheetId="3" r:id="rId3"/>
    <sheet name="1. závod" sheetId="4" r:id="rId4"/>
    <sheet name="2. závod" sheetId="5" r:id="rId5"/>
    <sheet name="Graf " sheetId="6" state="hidden" r:id="rId6"/>
  </sheets>
  <definedNames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3">'1. závod'!$A:$A</definedName>
    <definedName name="_xlnm.Print_Titles" localSheetId="4">'2. závod'!$A:$A</definedName>
    <definedName name="_xlnm.Print_Titles" localSheetId="2">'Výsledková listina'!$6:$8</definedName>
    <definedName name="_xlnm.Print_Area" localSheetId="3">'1. závod'!$B$1:$AT$19</definedName>
    <definedName name="_xlnm.Print_Area" localSheetId="4">'2. závod'!$A$1:$AT$19</definedName>
    <definedName name="_xlnm.Print_Area" localSheetId="1">'Druzstva'!$A$1:$Q$137</definedName>
    <definedName name="_xlnm.Print_Area" localSheetId="5">'Graf '!$A$1:$AC$81</definedName>
    <definedName name="_xlnm.Print_Area" localSheetId="2">'Výsledková listina'!$A$1:$P$156</definedName>
    <definedName name="wrn.sektor1." localSheetId="4" hidden="1">{#N/A,#N/A,FALSE,"2. z?vod "}</definedName>
    <definedName name="wrn.sektor1." localSheetId="5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závod'!$N:$N,'1. závod'!#REF!</definedName>
    <definedName name="Z_5AB3ED42_6F34_11D3_9C22_00A0243EF9BD_.wvu.Cols" localSheetId="4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<sst xmlns="http://schemas.openxmlformats.org/spreadsheetml/2006/main" count="1141" uniqueCount="366">
  <si>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</si>
  <si>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</si>
  <si>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</si>
  <si>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</si>
  <si>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</si>
  <si>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</si>
  <si>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</si>
  <si>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</si>
  <si>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</si>
  <si>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</si>
  <si>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</si>
  <si>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</si>
  <si>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</si>
  <si>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</si>
  <si>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</si>
  <si>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</si>
  <si>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</si>
  <si>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</si>
  <si>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</si>
  <si>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</si>
  <si>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</si>
  <si>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</si>
  <si>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</si>
  <si>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</si>
  <si>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</si>
  <si>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</si>
  <si>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</si>
  <si>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</si>
  <si>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</si>
  <si>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</si>
  <si>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</si>
  <si>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</si>
  <si>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</si>
  <si>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</si>
  <si>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</si>
  <si>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</si>
  <si>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</si>
  <si>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</si>
  <si>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</si>
  <si>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</si>
  <si>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</si>
  <si>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</si>
  <si>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</si>
  <si>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</si>
  <si>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</si>
  <si>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</si>
  <si>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</si>
  <si>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</si>
  <si>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</si>
  <si>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</si>
  <si>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</si>
  <si>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</si>
  <si>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</si>
  <si>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</si>
  <si>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</si>
  <si>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</si>
  <si>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</si>
  <si>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</si>
  <si>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</si>
  <si>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</si>
  <si>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</si>
  <si>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</si>
  <si>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</si>
  <si>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</si>
  <si>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</si>
  <si>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</si>
  <si>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</si>
  <si>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</si>
  <si>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</si>
  <si>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</si>
  <si>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</si>
  <si>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</si>
  <si>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</si>
  <si>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</si>
  <si>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</si>
  <si>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</si>
  <si>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</si>
  <si>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</si>
  <si>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</si>
  <si>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</si>
  <si>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</si>
  <si>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</si>
  <si>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</si>
  <si>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</si>
  <si>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</si>
  <si>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</si>
  <si>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</si>
  <si>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</si>
  <si>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</si>
  <si>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</si>
  <si>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</si>
  <si>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</si>
  <si>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</si>
  <si>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</si>
  <si>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</si>
  <si>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družstvo</t>
  </si>
  <si>
    <t>důvod</t>
  </si>
  <si>
    <t>trest</t>
  </si>
  <si>
    <t>411 050 Labe 18, Brandýs nad Labem/St.Boleslav</t>
  </si>
  <si>
    <t>MiČR v LRU Feeder 2019</t>
  </si>
  <si>
    <t>Houžvíček Jan</t>
  </si>
  <si>
    <t>Bartoň Štěpán</t>
  </si>
  <si>
    <t>Stupka Jaroslav</t>
  </si>
  <si>
    <t>Feeder Team Zelenáči ČRS</t>
  </si>
  <si>
    <t>Kolařík David ing.</t>
  </si>
  <si>
    <t>Procházka Matyáš</t>
  </si>
  <si>
    <t>Procházka Martin</t>
  </si>
  <si>
    <t>Team Matrix MO Olomouc</t>
  </si>
  <si>
    <t>Pechalová Andrea</t>
  </si>
  <si>
    <t>Pagáč Pavel</t>
  </si>
  <si>
    <t>Kejnar Zdeněk</t>
  </si>
  <si>
    <t>SEBRANKA MRS</t>
  </si>
  <si>
    <t>Koucký Miloslav</t>
  </si>
  <si>
    <t>Stárek Jan</t>
  </si>
  <si>
    <t>Tomšík Jan</t>
  </si>
  <si>
    <t>Vranovice</t>
  </si>
  <si>
    <t>Šumperk</t>
  </si>
  <si>
    <t>Praha 5 Zbraslav</t>
  </si>
  <si>
    <t>Hrušovany nad Jevišovkou</t>
  </si>
  <si>
    <t>Němčice nad Hanou</t>
  </si>
  <si>
    <t>Žďár nad Sázavou</t>
  </si>
  <si>
    <t>Velké Meziříčí</t>
  </si>
  <si>
    <t>MAVER FEEDER TEAM MORAVIA - MRS</t>
  </si>
  <si>
    <t>Špitálský Václav</t>
  </si>
  <si>
    <t>Čelákovice</t>
  </si>
  <si>
    <t>Špitálský Václav ml.</t>
  </si>
  <si>
    <t>Pluchta Petr</t>
  </si>
  <si>
    <t>Smečno</t>
  </si>
  <si>
    <t>Křivánek Miroslav</t>
  </si>
  <si>
    <t>Roudnice nad Labem</t>
  </si>
  <si>
    <t>Halíř Lukáš</t>
  </si>
  <si>
    <t>Most</t>
  </si>
  <si>
    <t>Čtverák Jaroslav</t>
  </si>
  <si>
    <t>Vydra Filip</t>
  </si>
  <si>
    <t>Koubek František</t>
  </si>
  <si>
    <t>Neratovice</t>
  </si>
  <si>
    <t>Kabát Petr</t>
  </si>
  <si>
    <t>Komora Martin</t>
  </si>
  <si>
    <t>Nerad Rostislav</t>
  </si>
  <si>
    <t>Česká Kamenice</t>
  </si>
  <si>
    <t>Best of Feeder Tým ČRS</t>
  </si>
  <si>
    <t>Pro feeder MO Roudnice nad Labem</t>
  </si>
  <si>
    <t>Feeder tým MO Brandýs nad Labem-Stará Boleslav</t>
  </si>
  <si>
    <t>Tovačov</t>
  </si>
  <si>
    <t>Hýbner Dušan</t>
  </si>
  <si>
    <t>Kapusta Lukáš</t>
  </si>
  <si>
    <t>Čelakovice</t>
  </si>
  <si>
    <t>Zumr Michal</t>
  </si>
  <si>
    <t>Kotek Vojtěch</t>
  </si>
  <si>
    <t>Vican Roman</t>
  </si>
  <si>
    <t>Přeštice</t>
  </si>
  <si>
    <t>Vichr Milan</t>
  </si>
  <si>
    <t>Plzeň 1</t>
  </si>
  <si>
    <t>Hrdlička Jaroslav</t>
  </si>
  <si>
    <t>Mariánské Lázně</t>
  </si>
  <si>
    <t>VVH team MO Plzeň</t>
  </si>
  <si>
    <t>Havlíček Petr</t>
  </si>
  <si>
    <t>Čáslav</t>
  </si>
  <si>
    <t>Ludvík Jiří</t>
  </si>
  <si>
    <t>Poskočil Petr</t>
  </si>
  <si>
    <t>Šmitmajer Marek</t>
  </si>
  <si>
    <t>Vodňany</t>
  </si>
  <si>
    <t>Němec Jan</t>
  </si>
  <si>
    <t>Svoboda Jiři</t>
  </si>
  <si>
    <t>České Budějovice</t>
  </si>
  <si>
    <t>Colmic Stréci A - MRS</t>
  </si>
  <si>
    <t>RSK Colmic Stréci B - ČRS</t>
  </si>
  <si>
    <t>Kortiš Ladislav</t>
  </si>
  <si>
    <t>Vitásek Jiří</t>
  </si>
  <si>
    <t>Vik Marek</t>
  </si>
  <si>
    <t>Konopásek Josef</t>
  </si>
  <si>
    <t>Konopásek Ladislav</t>
  </si>
  <si>
    <t>Konopásek Richard</t>
  </si>
  <si>
    <t>Loštice</t>
  </si>
  <si>
    <t>Olomouc</t>
  </si>
  <si>
    <t>Pardubice</t>
  </si>
  <si>
    <t>Hájek Ondřej</t>
  </si>
  <si>
    <t>Peterka Jaroslav</t>
  </si>
  <si>
    <t>Holčák Radek</t>
  </si>
  <si>
    <t>Praha 9 Vysočany</t>
  </si>
  <si>
    <t>River Feeder Team Maver MO Vysočany</t>
  </si>
  <si>
    <t>Grofová Lenka</t>
  </si>
  <si>
    <t>Špánek Milan</t>
  </si>
  <si>
    <t>Dědík Vladimír</t>
  </si>
  <si>
    <t>Praha 5 Velká Chuchle</t>
  </si>
  <si>
    <t>Praha 8 Kobylisy</t>
  </si>
  <si>
    <t>Kefas FT ČRS</t>
  </si>
  <si>
    <t>Vosáhlo Pavel</t>
  </si>
  <si>
    <t>Lukášek Jakub</t>
  </si>
  <si>
    <t>Přelouč</t>
  </si>
  <si>
    <t>Třebechovice pod Orebem</t>
  </si>
  <si>
    <t>Bromovský Petr</t>
  </si>
  <si>
    <t>Český Šternberk</t>
  </si>
  <si>
    <t>Šitina Josef</t>
  </si>
  <si>
    <t>Fodor Petr</t>
  </si>
  <si>
    <t>Na Feeder.cz MO Brandýs n/Labem - Stará Boleslav</t>
  </si>
  <si>
    <t>Shershen Volodimír</t>
  </si>
  <si>
    <t>Nimko Maryan</t>
  </si>
  <si>
    <t>Burak Oleg</t>
  </si>
  <si>
    <t>Praha 4 Pankrác</t>
  </si>
  <si>
    <t>Praha 4 Háje</t>
  </si>
  <si>
    <t>Dnister Feeder Team MO Praha 4 Pankrác</t>
  </si>
  <si>
    <t>Tým MO Bělá pod Bezdězem</t>
  </si>
  <si>
    <t>Brzobohatý Jan</t>
  </si>
  <si>
    <t>Hofta Jiří</t>
  </si>
  <si>
    <t>Kabourek Václav</t>
  </si>
  <si>
    <t>Bělá pod Bezdězem</t>
  </si>
  <si>
    <t>Řehoř Michal</t>
  </si>
  <si>
    <t>Kodad Daniel</t>
  </si>
  <si>
    <t>Zákupy</t>
  </si>
  <si>
    <t>Sjeté Gumy ČRS</t>
  </si>
  <si>
    <t>Vrtěl Petr</t>
  </si>
  <si>
    <t>Přerov</t>
  </si>
  <si>
    <t>Vrtěl Ondřej</t>
  </si>
  <si>
    <t>Ondrušek Roman</t>
  </si>
  <si>
    <t>Feeder Team MP Přerov</t>
  </si>
  <si>
    <t>Vacek Jan</t>
  </si>
  <si>
    <t xml:space="preserve">Praha 8 </t>
  </si>
  <si>
    <t>Pecka Zdeněk</t>
  </si>
  <si>
    <t>Řípa Aleš</t>
  </si>
  <si>
    <t>Fedas Ondřej</t>
  </si>
  <si>
    <t>Fedas Michal</t>
  </si>
  <si>
    <t>Svitek Ferdinand</t>
  </si>
  <si>
    <t>Feeder Team MO Tovačov</t>
  </si>
  <si>
    <t>Špitálská Aneta</t>
  </si>
  <si>
    <t>Řezáč Jan st.</t>
  </si>
  <si>
    <t>Řezáč Jan ml.</t>
  </si>
  <si>
    <t>Dvořák Dominik</t>
  </si>
  <si>
    <t>Tábor</t>
  </si>
  <si>
    <t>SemTam feeder team ČRS</t>
  </si>
  <si>
    <t>Ž</t>
  </si>
  <si>
    <t>Král Víťa  st.</t>
  </si>
  <si>
    <t>Král Víťa ml.</t>
  </si>
  <si>
    <t>Králová Nela</t>
  </si>
  <si>
    <t>Hovorčovice</t>
  </si>
  <si>
    <t>Colmic feeder team MO Hovorčovice</t>
  </si>
  <si>
    <t>J,Ž</t>
  </si>
  <si>
    <t>Vančata Vladimír</t>
  </si>
  <si>
    <t>Šerý Kamil</t>
  </si>
  <si>
    <t>Feeder Tým MO Třebechovice pod Orebem</t>
  </si>
  <si>
    <t>Hladík Roman</t>
  </si>
  <si>
    <t>Richter František</t>
  </si>
  <si>
    <t>Bank Jan</t>
  </si>
  <si>
    <t>Hanousek Jiří</t>
  </si>
  <si>
    <t>Varga Ladislav</t>
  </si>
  <si>
    <t>Repšlová Jana</t>
  </si>
  <si>
    <t>Bakov nad Jizerou</t>
  </si>
  <si>
    <t>Bulak Serhiy</t>
  </si>
  <si>
    <t xml:space="preserve">Fiala Michal </t>
  </si>
  <si>
    <t>Slaný</t>
  </si>
  <si>
    <t>Litoměřice</t>
  </si>
  <si>
    <t>Feeder Team POLABÁCI ČRS</t>
  </si>
  <si>
    <t>Hejda Richard</t>
  </si>
  <si>
    <t>Sázava</t>
  </si>
  <si>
    <t>Vojta Jan</t>
  </si>
  <si>
    <t>Protivín</t>
  </si>
  <si>
    <t>Paulovič Marek</t>
  </si>
  <si>
    <t>Třeboň</t>
  </si>
  <si>
    <t>Pužej Štěpán</t>
  </si>
  <si>
    <t>Netolice</t>
  </si>
  <si>
    <t>HONZOVORYBARENI.CZ MO PROTIVÍN</t>
  </si>
  <si>
    <t>Zoul Artur</t>
  </si>
  <si>
    <t>Žatec</t>
  </si>
  <si>
    <t>Kryštofy Roman</t>
  </si>
  <si>
    <t>Novosad Tomáš</t>
  </si>
  <si>
    <t>Egerfish Junior Feeder Team MO Žatec</t>
  </si>
  <si>
    <t>Oliva Vladimír</t>
  </si>
  <si>
    <t>Třebíč</t>
  </si>
  <si>
    <t>Kunst Antonín</t>
  </si>
  <si>
    <t>Jaroměřice nad Rokytnou</t>
  </si>
  <si>
    <t>Ondraček Petr</t>
  </si>
  <si>
    <t>MAVER Feeder Klub Třebíč MRS</t>
  </si>
  <si>
    <t>Škrobánek Michal</t>
  </si>
  <si>
    <t>Viktorin Tomáš</t>
  </si>
  <si>
    <t>Zeman Tomáš</t>
  </si>
  <si>
    <t>Mělník</t>
  </si>
  <si>
    <t>Hostiné</t>
  </si>
  <si>
    <t>Garbolino feeder tým "Na Soutoku" MO Mělník</t>
  </si>
  <si>
    <t>Browning CZ ČRS</t>
  </si>
  <si>
    <t>Sičák Pavel</t>
  </si>
  <si>
    <t>Vymazal Petr</t>
  </si>
  <si>
    <t>Staněk Karel</t>
  </si>
  <si>
    <t>Maťak Martin</t>
  </si>
  <si>
    <t>Černý Radek</t>
  </si>
  <si>
    <t>Zavřel Jan</t>
  </si>
  <si>
    <t>Brno 1</t>
  </si>
  <si>
    <t>Polička</t>
  </si>
  <si>
    <t xml:space="preserve">Preston feeder team MRK.cz </t>
  </si>
  <si>
    <t>Rada Milan</t>
  </si>
  <si>
    <t>Lukášová Viktorie</t>
  </si>
  <si>
    <t>K,Ž</t>
  </si>
  <si>
    <t>Jurkovič Jan</t>
  </si>
  <si>
    <t>Brandýs nad Labem-Stará Boleslav</t>
  </si>
  <si>
    <t>Štěpnička Radek</t>
  </si>
  <si>
    <t>Štěpnička Milan</t>
  </si>
  <si>
    <t>Štěpnička Martin</t>
  </si>
  <si>
    <t>MATRIX Feeder MO ČRS Český Šternberk</t>
  </si>
  <si>
    <t>Kladno</t>
  </si>
  <si>
    <t>Velebný Pavel</t>
  </si>
  <si>
    <t>Kameník Jaroslav</t>
  </si>
  <si>
    <t>Mladá Boleslav</t>
  </si>
  <si>
    <t>Šetina Michal</t>
  </si>
  <si>
    <t>TUBERTINI FEEDER TEAM ČRS SÚS MO MLADÁ BOLESLAV</t>
  </si>
  <si>
    <t>Lázeňští Šviháci Feeder Team MO Třeboň</t>
  </si>
  <si>
    <t>Mlčák Luboš</t>
  </si>
  <si>
    <t>Košina Pavel</t>
  </si>
  <si>
    <t>Krakowitzer Jiří</t>
  </si>
  <si>
    <t>Starý Ples</t>
  </si>
  <si>
    <t>ČRS JČ feeder team</t>
  </si>
  <si>
    <t>Moravčík Petr</t>
  </si>
  <si>
    <t>Černý Tomáš st.</t>
  </si>
  <si>
    <t>Černý Tomáš ml.</t>
  </si>
  <si>
    <t>Kuchař Petr</t>
  </si>
  <si>
    <t>Tvarůžek Miroslav</t>
  </si>
  <si>
    <t>Douša Jan</t>
  </si>
  <si>
    <t>ČRS LK Baits</t>
  </si>
  <si>
    <t>SÚS Kapříci MO Čelakovice</t>
  </si>
  <si>
    <t>Trabucco Pohoda Fishing MO Praha 11 Háje</t>
  </si>
  <si>
    <t>Bílina</t>
  </si>
  <si>
    <t>Český Brod</t>
  </si>
  <si>
    <t>Radil Miroslav</t>
  </si>
  <si>
    <t>Rajdl Jaroslav</t>
  </si>
  <si>
    <t>Malešov</t>
  </si>
  <si>
    <t>Novák Jan</t>
  </si>
  <si>
    <t>Kolín</t>
  </si>
  <si>
    <t>Tichý Jan</t>
  </si>
  <si>
    <t>Tichý Rudolf</t>
  </si>
  <si>
    <t>Časlav</t>
  </si>
  <si>
    <t>Abramis feeder team ČRS</t>
  </si>
  <si>
    <t>Barbus Feeder Team ČRS</t>
  </si>
  <si>
    <t>Cresta Feeder Team Severočeský ÚS</t>
  </si>
  <si>
    <t>Novák Zdeněk</t>
  </si>
  <si>
    <t>Sigmund David</t>
  </si>
  <si>
    <t>Plzák Karel</t>
  </si>
  <si>
    <t>Soukup Michal</t>
  </si>
  <si>
    <t>Krýsl Pavel</t>
  </si>
  <si>
    <t>Tým MO Plzeň 1</t>
  </si>
  <si>
    <t xml:space="preserve">Man Lukáš </t>
  </si>
  <si>
    <t>Středočeský územní svaz Kaprňaci</t>
  </si>
  <si>
    <t>RIVE FeederKlub MO Čelákovice</t>
  </si>
  <si>
    <t>Falgman - Sportcarp</t>
  </si>
  <si>
    <t>Chadraba Petr</t>
  </si>
  <si>
    <t>Slavkov</t>
  </si>
  <si>
    <t>Mikulov</t>
  </si>
  <si>
    <t>Mušovští chlapci MRS</t>
  </si>
  <si>
    <t>Brno 3</t>
  </si>
  <si>
    <t>Štovčík Viktor</t>
  </si>
  <si>
    <t>Stříbrský Viktor</t>
  </si>
  <si>
    <t>Praha 11 Háje</t>
  </si>
  <si>
    <t>Kukající vlci Feeder Team ČRS</t>
  </si>
  <si>
    <t>MO Plzeň 1</t>
  </si>
  <si>
    <t>b</t>
  </si>
  <si>
    <t>g</t>
  </si>
  <si>
    <t>f</t>
  </si>
  <si>
    <t>i</t>
  </si>
  <si>
    <t>e</t>
  </si>
  <si>
    <t>a</t>
  </si>
  <si>
    <t>c</t>
  </si>
  <si>
    <t>h</t>
  </si>
  <si>
    <t>d</t>
  </si>
  <si>
    <t>Lang Radek</t>
  </si>
  <si>
    <t>Štěpnička Milan st.</t>
  </si>
  <si>
    <t>29.06- 30.06.2019</t>
  </si>
  <si>
    <t>Mucala David</t>
  </si>
  <si>
    <t>Mucala Karel</t>
  </si>
  <si>
    <t>Pořadí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</si>
</sst>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F400]h:mm:ss\ AM/PM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6"/>
      <name val="Century Gothic"/>
      <family val="2"/>
    </font>
    <font>
      <sz val="8"/>
      <name val="Arial CE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Arial CE"/>
      <family val="0"/>
    </font>
    <font>
      <sz val="16"/>
      <name val="Century Gothic"/>
      <family val="2"/>
    </font>
    <font>
      <b/>
      <u val="single"/>
      <sz val="10"/>
      <name val="Arial CE"/>
      <family val="0"/>
    </font>
    <font>
      <b/>
      <sz val="8"/>
      <name val="Arial CE"/>
      <family val="0"/>
    </font>
    <font>
      <i/>
      <sz val="12"/>
      <name val="Arial CE"/>
      <family val="2"/>
    </font>
    <font>
      <b/>
      <i/>
      <sz val="12"/>
      <name val="Arial CE"/>
      <family val="0"/>
    </font>
    <font>
      <b/>
      <sz val="14"/>
      <name val="Arial CE"/>
      <family val="0"/>
    </font>
    <font>
      <b/>
      <i/>
      <sz val="12"/>
      <name val="Century Gothic"/>
      <family val="2"/>
    </font>
    <font>
      <b/>
      <sz val="1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 locked="0"/>
    </xf>
    <xf numFmtId="3" fontId="3" fillId="0" borderId="13" xfId="0" applyNumberFormat="1" applyFont="1" applyBorder="1" applyAlignment="1" applyProtection="1">
      <alignment horizontal="right" vertical="center" wrapText="1"/>
      <protection hidden="1"/>
    </xf>
    <xf numFmtId="3" fontId="3" fillId="0" borderId="12" xfId="0" applyNumberFormat="1" applyFont="1" applyBorder="1" applyAlignment="1" applyProtection="1">
      <alignment horizontal="right" vertical="center" wrapText="1"/>
      <protection hidden="1"/>
    </xf>
    <xf numFmtId="3" fontId="4" fillId="0" borderId="12" xfId="0" applyNumberFormat="1" applyFont="1" applyBorder="1" applyAlignment="1" applyProtection="1">
      <alignment/>
      <protection hidden="1" locked="0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vertical="center" wrapText="1"/>
      <protection hidden="1" locked="0"/>
    </xf>
    <xf numFmtId="0" fontId="3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>
      <alignment/>
    </xf>
    <xf numFmtId="0" fontId="2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right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right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26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 shrinkToFit="1"/>
      <protection hidden="1"/>
    </xf>
    <xf numFmtId="0" fontId="2" fillId="0" borderId="13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 hidden="1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49" fontId="7" fillId="0" borderId="0" xfId="0" applyNumberFormat="1" applyFont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9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0" xfId="0" applyFont="1" applyFill="1" applyBorder="1" applyAlignment="1" applyProtection="1">
      <alignment horizontal="right" vertical="center"/>
      <protection hidden="1" locked="0"/>
    </xf>
    <xf numFmtId="0" fontId="0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12" xfId="0" applyFont="1" applyFill="1" applyBorder="1" applyAlignment="1" applyProtection="1">
      <alignment horizontal="right" vertical="center"/>
      <protection hidden="1" locked="0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right" vertical="center"/>
      <protection hidden="1" locked="0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 applyProtection="1">
      <alignment horizontal="right" vertical="center"/>
      <protection hidden="1" locked="0"/>
    </xf>
    <xf numFmtId="0" fontId="0" fillId="0" borderId="15" xfId="0" applyFont="1" applyFill="1" applyBorder="1" applyAlignment="1" applyProtection="1">
      <alignment horizontal="right" vertical="center"/>
      <protection hidden="1" locked="0"/>
    </xf>
    <xf numFmtId="0" fontId="0" fillId="0" borderId="31" xfId="0" applyFont="1" applyFill="1" applyBorder="1" applyAlignment="1" applyProtection="1">
      <alignment horizontal="right" vertical="center"/>
      <protection hidden="1" locked="0"/>
    </xf>
    <xf numFmtId="0" fontId="0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23" xfId="0" applyFont="1" applyFill="1" applyBorder="1" applyAlignment="1" applyProtection="1">
      <alignment horizontal="right" vertical="center"/>
      <protection hidden="1" locked="0"/>
    </xf>
    <xf numFmtId="0" fontId="0" fillId="0" borderId="12" xfId="0" applyFont="1" applyFill="1" applyBorder="1" applyAlignment="1" applyProtection="1">
      <alignment vertical="center"/>
      <protection hidden="1" locked="0"/>
    </xf>
    <xf numFmtId="0" fontId="0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2" xfId="0" applyFont="1" applyFill="1" applyBorder="1" applyAlignment="1" applyProtection="1">
      <alignment horizontal="left" vertical="center"/>
      <protection hidden="1" locked="0"/>
    </xf>
    <xf numFmtId="0" fontId="0" fillId="0" borderId="12" xfId="0" applyFont="1" applyFill="1" applyBorder="1" applyAlignment="1" applyProtection="1">
      <alignment vertical="center"/>
      <protection hidden="1" locked="0"/>
    </xf>
    <xf numFmtId="0" fontId="2" fillId="0" borderId="12" xfId="0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0" fillId="33" borderId="12" xfId="0" applyFont="1" applyFill="1" applyBorder="1" applyAlignment="1" applyProtection="1">
      <alignment horizontal="center" vertical="center"/>
      <protection hidden="1" locked="0"/>
    </xf>
    <xf numFmtId="0" fontId="2" fillId="34" borderId="12" xfId="0" applyFont="1" applyFill="1" applyBorder="1" applyAlignment="1" applyProtection="1">
      <alignment/>
      <protection hidden="1"/>
    </xf>
    <xf numFmtId="0" fontId="12" fillId="0" borderId="38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 quotePrefix="1">
      <alignment horizontal="left" vertical="center" wrapText="1"/>
      <protection hidden="1"/>
    </xf>
    <xf numFmtId="0" fontId="3" fillId="0" borderId="24" xfId="0" applyFont="1" applyBorder="1" applyAlignment="1" applyProtection="1" quotePrefix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12" borderId="1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 wrapText="1"/>
      <protection hidden="1" locked="0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3" fontId="4" fillId="0" borderId="0" xfId="0" applyNumberFormat="1" applyFont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0" fillId="33" borderId="20" xfId="0" applyFont="1" applyFill="1" applyBorder="1" applyAlignment="1" applyProtection="1">
      <alignment horizontal="right" vertical="center"/>
      <protection hidden="1" locked="0"/>
    </xf>
    <xf numFmtId="0" fontId="0" fillId="33" borderId="27" xfId="0" applyFont="1" applyFill="1" applyBorder="1" applyAlignment="1" applyProtection="1">
      <alignment horizontal="left" vertical="center" wrapText="1"/>
      <protection hidden="1"/>
    </xf>
    <xf numFmtId="0" fontId="0" fillId="33" borderId="19" xfId="0" applyFont="1" applyFill="1" applyBorder="1" applyAlignment="1" applyProtection="1">
      <alignment horizontal="right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right" vertical="center"/>
      <protection hidden="1"/>
    </xf>
    <xf numFmtId="0" fontId="0" fillId="33" borderId="12" xfId="0" applyFont="1" applyFill="1" applyBorder="1" applyAlignment="1" applyProtection="1">
      <alignment horizontal="right" vertical="center"/>
      <protection hidden="1" locked="0"/>
    </xf>
    <xf numFmtId="0" fontId="0" fillId="33" borderId="28" xfId="0" applyFont="1" applyFill="1" applyBorder="1" applyAlignment="1" applyProtection="1">
      <alignment horizontal="left" vertical="center" wrapText="1"/>
      <protection hidden="1"/>
    </xf>
    <xf numFmtId="0" fontId="0" fillId="33" borderId="21" xfId="0" applyFont="1" applyFill="1" applyBorder="1" applyAlignment="1" applyProtection="1">
      <alignment horizontal="right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right" vertical="center"/>
      <protection hidden="1" locked="0"/>
    </xf>
    <xf numFmtId="0" fontId="0" fillId="33" borderId="29" xfId="0" applyFont="1" applyFill="1" applyBorder="1" applyAlignment="1" applyProtection="1">
      <alignment horizontal="left" vertical="center" wrapText="1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0" fillId="35" borderId="20" xfId="0" applyFont="1" applyFill="1" applyBorder="1" applyAlignment="1" applyProtection="1">
      <alignment horizontal="right" vertical="center"/>
      <protection hidden="1" locked="0"/>
    </xf>
    <xf numFmtId="0" fontId="0" fillId="35" borderId="27" xfId="0" applyFont="1" applyFill="1" applyBorder="1" applyAlignment="1" applyProtection="1">
      <alignment horizontal="left" vertical="center" wrapText="1"/>
      <protection hidden="1"/>
    </xf>
    <xf numFmtId="0" fontId="0" fillId="35" borderId="19" xfId="0" applyFont="1" applyFill="1" applyBorder="1" applyAlignment="1" applyProtection="1">
      <alignment horizontal="right" vertical="center"/>
      <protection hidden="1"/>
    </xf>
    <xf numFmtId="0" fontId="0" fillId="35" borderId="20" xfId="0" applyFont="1" applyFill="1" applyBorder="1" applyAlignment="1" applyProtection="1">
      <alignment horizontal="center" vertical="center"/>
      <protection hidden="1"/>
    </xf>
    <xf numFmtId="0" fontId="0" fillId="35" borderId="24" xfId="0" applyFont="1" applyFill="1" applyBorder="1" applyAlignment="1" applyProtection="1">
      <alignment horizontal="right" vertical="center"/>
      <protection hidden="1"/>
    </xf>
    <xf numFmtId="0" fontId="0" fillId="35" borderId="12" xfId="0" applyFont="1" applyFill="1" applyBorder="1" applyAlignment="1" applyProtection="1">
      <alignment horizontal="right" vertical="center"/>
      <protection hidden="1" locked="0"/>
    </xf>
    <xf numFmtId="0" fontId="0" fillId="35" borderId="28" xfId="0" applyFont="1" applyFill="1" applyBorder="1" applyAlignment="1" applyProtection="1">
      <alignment horizontal="left" vertical="center" wrapText="1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12" xfId="0" applyFont="1" applyFill="1" applyBorder="1" applyAlignment="1" applyProtection="1">
      <alignment horizontal="center" vertical="center"/>
      <protection hidden="1"/>
    </xf>
    <xf numFmtId="0" fontId="0" fillId="35" borderId="25" xfId="0" applyFont="1" applyFill="1" applyBorder="1" applyAlignment="1" applyProtection="1">
      <alignment horizontal="right" vertical="center"/>
      <protection hidden="1" locked="0"/>
    </xf>
    <xf numFmtId="0" fontId="0" fillId="35" borderId="29" xfId="0" applyFont="1" applyFill="1" applyBorder="1" applyAlignment="1" applyProtection="1">
      <alignment horizontal="left" vertical="center" wrapText="1"/>
      <protection hidden="1"/>
    </xf>
    <xf numFmtId="0" fontId="0" fillId="35" borderId="25" xfId="0" applyFont="1" applyFill="1" applyBorder="1" applyAlignment="1" applyProtection="1">
      <alignment horizontal="center" vertical="center"/>
      <protection hidden="1"/>
    </xf>
    <xf numFmtId="0" fontId="0" fillId="13" borderId="20" xfId="0" applyFont="1" applyFill="1" applyBorder="1" applyAlignment="1" applyProtection="1">
      <alignment horizontal="right" vertical="center"/>
      <protection hidden="1" locked="0"/>
    </xf>
    <xf numFmtId="0" fontId="0" fillId="13" borderId="27" xfId="0" applyFont="1" applyFill="1" applyBorder="1" applyAlignment="1" applyProtection="1">
      <alignment horizontal="left" vertical="center" wrapText="1"/>
      <protection hidden="1"/>
    </xf>
    <xf numFmtId="0" fontId="0" fillId="13" borderId="19" xfId="0" applyFont="1" applyFill="1" applyBorder="1" applyAlignment="1" applyProtection="1">
      <alignment horizontal="right" vertical="center"/>
      <protection hidden="1"/>
    </xf>
    <xf numFmtId="0" fontId="0" fillId="13" borderId="20" xfId="0" applyFont="1" applyFill="1" applyBorder="1" applyAlignment="1" applyProtection="1">
      <alignment horizontal="center" vertical="center"/>
      <protection hidden="1"/>
    </xf>
    <xf numFmtId="0" fontId="0" fillId="13" borderId="24" xfId="0" applyFont="1" applyFill="1" applyBorder="1" applyAlignment="1" applyProtection="1">
      <alignment horizontal="right" vertical="center"/>
      <protection hidden="1"/>
    </xf>
    <xf numFmtId="0" fontId="0" fillId="13" borderId="12" xfId="0" applyFont="1" applyFill="1" applyBorder="1" applyAlignment="1" applyProtection="1">
      <alignment horizontal="right" vertical="center"/>
      <protection hidden="1" locked="0"/>
    </xf>
    <xf numFmtId="0" fontId="0" fillId="13" borderId="28" xfId="0" applyFont="1" applyFill="1" applyBorder="1" applyAlignment="1" applyProtection="1">
      <alignment horizontal="left" vertical="center" wrapText="1"/>
      <protection hidden="1"/>
    </xf>
    <xf numFmtId="0" fontId="0" fillId="13" borderId="21" xfId="0" applyFont="1" applyFill="1" applyBorder="1" applyAlignment="1" applyProtection="1">
      <alignment horizontal="right" vertical="center"/>
      <protection hidden="1"/>
    </xf>
    <xf numFmtId="0" fontId="0" fillId="13" borderId="12" xfId="0" applyFont="1" applyFill="1" applyBorder="1" applyAlignment="1" applyProtection="1">
      <alignment horizontal="center" vertical="center"/>
      <protection hidden="1"/>
    </xf>
    <xf numFmtId="0" fontId="0" fillId="13" borderId="32" xfId="0" applyFont="1" applyFill="1" applyBorder="1" applyAlignment="1" applyProtection="1">
      <alignment horizontal="left" vertical="center" wrapText="1"/>
      <protection hidden="1"/>
    </xf>
    <xf numFmtId="0" fontId="0" fillId="13" borderId="22" xfId="0" applyFont="1" applyFill="1" applyBorder="1" applyAlignment="1" applyProtection="1">
      <alignment horizontal="right" vertical="center"/>
      <protection hidden="1"/>
    </xf>
    <xf numFmtId="0" fontId="0" fillId="13" borderId="23" xfId="0" applyFont="1" applyFill="1" applyBorder="1" applyAlignment="1" applyProtection="1">
      <alignment horizontal="center" vertical="center"/>
      <protection hidden="1"/>
    </xf>
    <xf numFmtId="0" fontId="0" fillId="13" borderId="12" xfId="0" applyFill="1" applyBorder="1" applyAlignment="1" applyProtection="1">
      <alignment/>
      <protection hidden="1" locked="0"/>
    </xf>
    <xf numFmtId="0" fontId="0" fillId="13" borderId="12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 vertical="center" wrapText="1"/>
      <protection hidden="1" locked="0"/>
    </xf>
    <xf numFmtId="3" fontId="4" fillId="34" borderId="12" xfId="0" applyNumberFormat="1" applyFont="1" applyFill="1" applyBorder="1" applyAlignment="1" applyProtection="1">
      <alignment/>
      <protection hidden="1" locked="0"/>
    </xf>
    <xf numFmtId="3" fontId="3" fillId="34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34" borderId="20" xfId="0" applyFont="1" applyFill="1" applyBorder="1" applyAlignment="1" applyProtection="1">
      <alignment horizontal="right" vertical="center"/>
      <protection hidden="1" locked="0"/>
    </xf>
    <xf numFmtId="0" fontId="0" fillId="34" borderId="27" xfId="0" applyFont="1" applyFill="1" applyBorder="1" applyAlignment="1" applyProtection="1">
      <alignment horizontal="left" vertical="center" wrapText="1"/>
      <protection hidden="1"/>
    </xf>
    <xf numFmtId="0" fontId="0" fillId="34" borderId="19" xfId="0" applyFont="1" applyFill="1" applyBorder="1" applyAlignment="1" applyProtection="1">
      <alignment horizontal="right" vertical="center"/>
      <protection hidden="1"/>
    </xf>
    <xf numFmtId="0" fontId="0" fillId="34" borderId="20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horizontal="right" vertical="center"/>
      <protection hidden="1"/>
    </xf>
    <xf numFmtId="0" fontId="0" fillId="34" borderId="12" xfId="0" applyFont="1" applyFill="1" applyBorder="1" applyAlignment="1" applyProtection="1">
      <alignment horizontal="right" vertical="center"/>
      <protection hidden="1" locked="0"/>
    </xf>
    <xf numFmtId="0" fontId="0" fillId="34" borderId="28" xfId="0" applyFont="1" applyFill="1" applyBorder="1" applyAlignment="1" applyProtection="1">
      <alignment horizontal="left" vertical="center" wrapText="1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4" borderId="25" xfId="0" applyFont="1" applyFill="1" applyBorder="1" applyAlignment="1" applyProtection="1">
      <alignment horizontal="right" vertical="center"/>
      <protection hidden="1" locked="0"/>
    </xf>
    <xf numFmtId="0" fontId="0" fillId="34" borderId="32" xfId="0" applyFont="1" applyFill="1" applyBorder="1" applyAlignment="1" applyProtection="1">
      <alignment horizontal="left" vertical="center" wrapText="1"/>
      <protection hidden="1"/>
    </xf>
    <xf numFmtId="0" fontId="0" fillId="34" borderId="22" xfId="0" applyFont="1" applyFill="1" applyBorder="1" applyAlignment="1" applyProtection="1">
      <alignment horizontal="right" vertical="center"/>
      <protection hidden="1"/>
    </xf>
    <xf numFmtId="0" fontId="0" fillId="34" borderId="23" xfId="0" applyFont="1" applyFill="1" applyBorder="1" applyAlignment="1" applyProtection="1">
      <alignment horizontal="center" vertical="center"/>
      <protection hidden="1"/>
    </xf>
    <xf numFmtId="0" fontId="0" fillId="13" borderId="23" xfId="0" applyFont="1" applyFill="1" applyBorder="1" applyAlignment="1" applyProtection="1">
      <alignment horizontal="right" vertical="center"/>
      <protection hidden="1" locked="0"/>
    </xf>
    <xf numFmtId="0" fontId="16" fillId="34" borderId="0" xfId="0" applyFont="1" applyFill="1" applyBorder="1" applyAlignment="1">
      <alignment horizontal="center"/>
    </xf>
    <xf numFmtId="0" fontId="14" fillId="34" borderId="16" xfId="0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Alignment="1">
      <alignment/>
    </xf>
    <xf numFmtId="0" fontId="2" fillId="0" borderId="12" xfId="0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 horizontal="left"/>
      <protection hidden="1"/>
    </xf>
    <xf numFmtId="0" fontId="2" fillId="34" borderId="34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 applyProtection="1">
      <alignment vertical="center"/>
      <protection hidden="1"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 locked="0"/>
    </xf>
    <xf numFmtId="0" fontId="2" fillId="0" borderId="39" xfId="0" applyFont="1" applyBorder="1" applyAlignment="1" applyProtection="1">
      <alignment vertical="center" wrapText="1"/>
      <protection hidden="1" locked="0"/>
    </xf>
    <xf numFmtId="0" fontId="12" fillId="0" borderId="40" xfId="0" applyFont="1" applyBorder="1" applyAlignment="1" applyProtection="1" quotePrefix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 locked="0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 quotePrefix="1">
      <alignment vertical="center" wrapText="1"/>
      <protection hidden="1" locked="0"/>
    </xf>
    <xf numFmtId="0" fontId="2" fillId="0" borderId="43" xfId="0" applyFont="1" applyBorder="1" applyAlignment="1" applyProtection="1">
      <alignment vertical="center" wrapText="1"/>
      <protection hidden="1" locked="0"/>
    </xf>
    <xf numFmtId="0" fontId="12" fillId="0" borderId="44" xfId="0" applyFont="1" applyBorder="1" applyAlignment="1" applyProtection="1" quotePrefix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 locked="0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 quotePrefix="1">
      <alignment horizontal="center"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40" xfId="0" applyFont="1" applyBorder="1" applyAlignment="1" applyProtection="1" quotePrefix="1">
      <alignment vertical="center" wrapText="1"/>
      <protection hidden="1"/>
    </xf>
    <xf numFmtId="0" fontId="2" fillId="0" borderId="23" xfId="0" applyFont="1" applyBorder="1" applyAlignment="1" applyProtection="1" quotePrefix="1">
      <alignment horizontal="center" vertical="center" wrapText="1"/>
      <protection hidden="1"/>
    </xf>
    <xf numFmtId="0" fontId="2" fillId="0" borderId="49" xfId="0" applyFont="1" applyBorder="1" applyAlignment="1" applyProtection="1" quotePrefix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 locked="0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50" xfId="0" applyFont="1" applyBorder="1" applyAlignment="1" applyProtection="1" quotePrefix="1">
      <alignment horizontal="center" vertical="center" wrapText="1"/>
      <protection hidden="1"/>
    </xf>
    <xf numFmtId="0" fontId="2" fillId="0" borderId="51" xfId="0" applyFont="1" applyBorder="1" applyAlignment="1" applyProtection="1" quotePrefix="1">
      <alignment horizontal="center" vertical="center" wrapText="1"/>
      <protection hidden="1"/>
    </xf>
    <xf numFmtId="0" fontId="2" fillId="0" borderId="24" xfId="0" applyFont="1" applyBorder="1" applyAlignment="1" applyProtection="1" quotePrefix="1">
      <alignment horizontal="left" vertical="center" wrapText="1"/>
      <protection hidden="1"/>
    </xf>
    <xf numFmtId="0" fontId="2" fillId="0" borderId="44" xfId="0" applyFont="1" applyBorder="1" applyAlignment="1" applyProtection="1" quotePrefix="1">
      <alignment vertical="center" wrapText="1"/>
      <protection hidden="1"/>
    </xf>
    <xf numFmtId="0" fontId="2" fillId="0" borderId="25" xfId="0" applyFont="1" applyBorder="1" applyAlignment="1" applyProtection="1" quotePrefix="1">
      <alignment horizontal="center" vertical="center" wrapText="1"/>
      <protection hidden="1"/>
    </xf>
    <xf numFmtId="0" fontId="2" fillId="0" borderId="52" xfId="0" applyFont="1" applyBorder="1" applyAlignment="1" applyProtection="1" quotePrefix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" fillId="34" borderId="48" xfId="0" applyFont="1" applyFill="1" applyBorder="1" applyAlignment="1" applyProtection="1" quotePrefix="1">
      <alignment horizontal="center" vertical="center" wrapText="1"/>
      <protection hidden="1"/>
    </xf>
    <xf numFmtId="0" fontId="3" fillId="34" borderId="50" xfId="0" applyFont="1" applyFill="1" applyBorder="1" applyAlignment="1" applyProtection="1" quotePrefix="1">
      <alignment horizontal="center" vertical="center" wrapText="1"/>
      <protection hidden="1"/>
    </xf>
    <xf numFmtId="0" fontId="3" fillId="34" borderId="51" xfId="0" applyFont="1" applyFill="1" applyBorder="1" applyAlignment="1" applyProtection="1" quotePrefix="1">
      <alignment horizontal="center" vertical="center" wrapText="1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53" xfId="0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26" xfId="0" applyFont="1" applyBorder="1" applyAlignment="1" applyProtection="1">
      <alignment vertical="center" shrinkToFit="1"/>
      <protection hidden="1"/>
    </xf>
    <xf numFmtId="0" fontId="2" fillId="0" borderId="13" xfId="0" applyFont="1" applyBorder="1" applyAlignment="1" applyProtection="1">
      <alignment vertical="center" shrinkToFit="1"/>
      <protection hidden="1"/>
    </xf>
    <xf numFmtId="0" fontId="0" fillId="0" borderId="26" xfId="0" applyFont="1" applyBorder="1" applyAlignment="1" applyProtection="1">
      <alignment horizontal="center" vertical="center" shrinkToFit="1"/>
      <protection hidden="1"/>
    </xf>
    <xf numFmtId="0" fontId="0" fillId="0" borderId="53" xfId="0" applyFont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53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13" fillId="0" borderId="42" xfId="0" applyFont="1" applyFill="1" applyBorder="1" applyAlignment="1" applyProtection="1">
      <alignment horizontal="center" vertical="center"/>
      <protection hidden="1" locked="0"/>
    </xf>
    <xf numFmtId="0" fontId="13" fillId="0" borderId="16" xfId="0" applyFont="1" applyFill="1" applyBorder="1" applyAlignment="1" applyProtection="1">
      <alignment horizontal="center" vertical="center"/>
      <protection hidden="1" locked="0"/>
    </xf>
    <xf numFmtId="0" fontId="13" fillId="0" borderId="46" xfId="0" applyFont="1" applyFill="1" applyBorder="1" applyAlignment="1" applyProtection="1">
      <alignment horizontal="center" vertical="center"/>
      <protection hidden="1" locked="0"/>
    </xf>
    <xf numFmtId="0" fontId="15" fillId="0" borderId="42" xfId="0" applyFont="1" applyFill="1" applyBorder="1" applyAlignment="1" applyProtection="1">
      <alignment horizontal="center" vertical="center"/>
      <protection hidden="1" locked="0"/>
    </xf>
    <xf numFmtId="0" fontId="15" fillId="0" borderId="16" xfId="0" applyFont="1" applyFill="1" applyBorder="1" applyAlignment="1" applyProtection="1">
      <alignment horizontal="center" vertical="center"/>
      <protection hidden="1" locked="0"/>
    </xf>
    <xf numFmtId="0" fontId="15" fillId="0" borderId="46" xfId="0" applyFont="1" applyFill="1" applyBorder="1" applyAlignment="1" applyProtection="1">
      <alignment horizontal="center" vertical="center"/>
      <protection hidden="1" locked="0"/>
    </xf>
    <xf numFmtId="0" fontId="15" fillId="35" borderId="42" xfId="0" applyFont="1" applyFill="1" applyBorder="1" applyAlignment="1" applyProtection="1">
      <alignment horizontal="center" vertical="center"/>
      <protection hidden="1" locked="0"/>
    </xf>
    <xf numFmtId="0" fontId="15" fillId="35" borderId="16" xfId="0" applyFont="1" applyFill="1" applyBorder="1" applyAlignment="1" applyProtection="1">
      <alignment horizontal="center" vertical="center"/>
      <protection hidden="1" locked="0"/>
    </xf>
    <xf numFmtId="0" fontId="15" fillId="35" borderId="46" xfId="0" applyFont="1" applyFill="1" applyBorder="1" applyAlignment="1" applyProtection="1">
      <alignment horizontal="center" vertical="center"/>
      <protection hidden="1" locked="0"/>
    </xf>
    <xf numFmtId="0" fontId="15" fillId="33" borderId="42" xfId="0" applyFont="1" applyFill="1" applyBorder="1" applyAlignment="1" applyProtection="1">
      <alignment horizontal="center" vertical="center"/>
      <protection hidden="1" locked="0"/>
    </xf>
    <xf numFmtId="0" fontId="15" fillId="33" borderId="16" xfId="0" applyFont="1" applyFill="1" applyBorder="1" applyAlignment="1" applyProtection="1">
      <alignment horizontal="center" vertical="center"/>
      <protection hidden="1" locked="0"/>
    </xf>
    <xf numFmtId="0" fontId="15" fillId="33" borderId="46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14" fillId="34" borderId="42" xfId="0" applyFont="1" applyFill="1" applyBorder="1" applyAlignment="1" applyProtection="1">
      <alignment horizontal="center" vertical="center"/>
      <protection hidden="1" locked="0"/>
    </xf>
    <xf numFmtId="0" fontId="14" fillId="34" borderId="16" xfId="0" applyFont="1" applyFill="1" applyBorder="1" applyAlignment="1" applyProtection="1">
      <alignment horizontal="center" vertical="center"/>
      <protection hidden="1" locked="0"/>
    </xf>
    <xf numFmtId="0" fontId="14" fillId="34" borderId="46" xfId="0" applyFont="1" applyFill="1" applyBorder="1" applyAlignment="1" applyProtection="1">
      <alignment horizontal="center" vertical="center"/>
      <protection hidden="1" locked="0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 applyProtection="1">
      <alignment horizontal="center" vertical="center" wrapText="1"/>
      <protection hidden="1" locked="0"/>
    </xf>
    <xf numFmtId="0" fontId="2" fillId="0" borderId="58" xfId="0" applyFont="1" applyFill="1" applyBorder="1" applyAlignment="1" applyProtection="1">
      <alignment horizontal="center" vertical="center" wrapText="1"/>
      <protection hidden="1" locked="0"/>
    </xf>
    <xf numFmtId="0" fontId="2" fillId="0" borderId="59" xfId="0" applyFont="1" applyFill="1" applyBorder="1" applyAlignment="1" applyProtection="1">
      <alignment horizontal="center" vertical="center" wrapText="1"/>
      <protection hidden="1"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6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61" xfId="0" applyFont="1" applyFill="1" applyBorder="1" applyAlignment="1" applyProtection="1">
      <alignment horizontal="center" vertical="center" wrapText="1"/>
      <protection hidden="1"/>
    </xf>
    <xf numFmtId="0" fontId="3" fillId="34" borderId="42" xfId="0" applyFont="1" applyFill="1" applyBorder="1" applyAlignment="1" applyProtection="1">
      <alignment horizontal="center" vertical="center"/>
      <protection hidden="1" locked="0"/>
    </xf>
    <xf numFmtId="0" fontId="3" fillId="34" borderId="16" xfId="0" applyFont="1" applyFill="1" applyBorder="1" applyAlignment="1" applyProtection="1">
      <alignment horizontal="center" vertical="center"/>
      <protection hidden="1" locked="0"/>
    </xf>
    <xf numFmtId="0" fontId="3" fillId="34" borderId="46" xfId="0" applyFont="1" applyFill="1" applyBorder="1" applyAlignment="1" applyProtection="1">
      <alignment horizontal="center" vertical="center"/>
      <protection hidden="1" locked="0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17" fillId="34" borderId="42" xfId="0" applyFont="1" applyFill="1" applyBorder="1" applyAlignment="1" applyProtection="1">
      <alignment horizontal="center" vertical="center"/>
      <protection hidden="1" locked="0"/>
    </xf>
    <xf numFmtId="0" fontId="17" fillId="34" borderId="16" xfId="0" applyFont="1" applyFill="1" applyBorder="1" applyAlignment="1" applyProtection="1">
      <alignment horizontal="center" vertical="center"/>
      <protection hidden="1" locked="0"/>
    </xf>
    <xf numFmtId="0" fontId="17" fillId="34" borderId="46" xfId="0" applyFont="1" applyFill="1" applyBorder="1" applyAlignment="1" applyProtection="1">
      <alignment horizontal="center" vertical="center"/>
      <protection hidden="1" locked="0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 applyProtection="1">
      <alignment horizontal="center" vertical="center" wrapText="1"/>
      <protection hidden="1" locked="0"/>
    </xf>
    <xf numFmtId="0" fontId="2" fillId="35" borderId="58" xfId="0" applyFont="1" applyFill="1" applyBorder="1" applyAlignment="1" applyProtection="1">
      <alignment horizontal="center" vertical="center" wrapText="1"/>
      <protection hidden="1" locked="0"/>
    </xf>
    <xf numFmtId="0" fontId="2" fillId="35" borderId="59" xfId="0" applyFont="1" applyFill="1" applyBorder="1" applyAlignment="1" applyProtection="1">
      <alignment horizontal="center" vertical="center" wrapText="1"/>
      <protection hidden="1" locked="0"/>
    </xf>
    <xf numFmtId="0" fontId="2" fillId="35" borderId="30" xfId="0" applyFont="1" applyFill="1" applyBorder="1" applyAlignment="1" applyProtection="1">
      <alignment horizontal="center" vertical="center"/>
      <protection hidden="1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31" xfId="0" applyFont="1" applyFill="1" applyBorder="1" applyAlignment="1" applyProtection="1">
      <alignment horizontal="center" vertical="center"/>
      <protection hidden="1"/>
    </xf>
    <xf numFmtId="0" fontId="3" fillId="35" borderId="27" xfId="0" applyFont="1" applyFill="1" applyBorder="1" applyAlignment="1" applyProtection="1">
      <alignment horizontal="center" vertical="center"/>
      <protection hidden="1" locked="0"/>
    </xf>
    <xf numFmtId="0" fontId="3" fillId="35" borderId="16" xfId="0" applyFont="1" applyFill="1" applyBorder="1" applyAlignment="1" applyProtection="1">
      <alignment horizontal="center" vertical="center"/>
      <protection hidden="1" locked="0"/>
    </xf>
    <xf numFmtId="0" fontId="3" fillId="35" borderId="29" xfId="0" applyFont="1" applyFill="1" applyBorder="1" applyAlignment="1" applyProtection="1">
      <alignment horizontal="center" vertical="center"/>
      <protection hidden="1" locked="0"/>
    </xf>
    <xf numFmtId="0" fontId="2" fillId="35" borderId="6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61" xfId="0" applyFont="1" applyFill="1" applyBorder="1" applyAlignment="1" applyProtection="1">
      <alignment horizontal="center" vertical="center" wrapText="1"/>
      <protection hidden="1"/>
    </xf>
    <xf numFmtId="0" fontId="2" fillId="33" borderId="57" xfId="0" applyFont="1" applyFill="1" applyBorder="1" applyAlignment="1" applyProtection="1">
      <alignment horizontal="center" vertical="center" wrapText="1"/>
      <protection hidden="1" locked="0"/>
    </xf>
    <xf numFmtId="0" fontId="2" fillId="33" borderId="58" xfId="0" applyFont="1" applyFill="1" applyBorder="1" applyAlignment="1" applyProtection="1">
      <alignment horizontal="center" vertical="center" wrapText="1"/>
      <protection hidden="1" locked="0"/>
    </xf>
    <xf numFmtId="0" fontId="2" fillId="33" borderId="59" xfId="0" applyFont="1" applyFill="1" applyBorder="1" applyAlignment="1" applyProtection="1">
      <alignment horizontal="center" vertical="center" wrapText="1"/>
      <protection hidden="1" locked="0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 locked="0"/>
    </xf>
    <xf numFmtId="0" fontId="3" fillId="33" borderId="16" xfId="0" applyFont="1" applyFill="1" applyBorder="1" applyAlignment="1" applyProtection="1">
      <alignment horizontal="center" vertical="center"/>
      <protection hidden="1" locked="0"/>
    </xf>
    <xf numFmtId="0" fontId="3" fillId="33" borderId="29" xfId="0" applyFont="1" applyFill="1" applyBorder="1" applyAlignment="1" applyProtection="1">
      <alignment horizontal="center" vertical="center"/>
      <protection hidden="1" locked="0"/>
    </xf>
    <xf numFmtId="0" fontId="2" fillId="33" borderId="60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61" xfId="0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164" fontId="3" fillId="0" borderId="62" xfId="0" applyNumberFormat="1" applyFont="1" applyFill="1" applyBorder="1" applyAlignment="1">
      <alignment horizontal="center" vertical="top"/>
    </xf>
    <xf numFmtId="0" fontId="2" fillId="13" borderId="30" xfId="0" applyFont="1" applyFill="1" applyBorder="1" applyAlignment="1" applyProtection="1">
      <alignment horizontal="center" vertical="center"/>
      <protection hidden="1"/>
    </xf>
    <xf numFmtId="0" fontId="2" fillId="13" borderId="15" xfId="0" applyFont="1" applyFill="1" applyBorder="1" applyAlignment="1" applyProtection="1">
      <alignment horizontal="center" vertical="center"/>
      <protection hidden="1"/>
    </xf>
    <xf numFmtId="0" fontId="2" fillId="13" borderId="31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31" xfId="0" applyFont="1" applyFill="1" applyBorder="1" applyAlignment="1" applyProtection="1">
      <alignment horizontal="center" vertical="center"/>
      <protection hidden="1"/>
    </xf>
    <xf numFmtId="0" fontId="2" fillId="34" borderId="57" xfId="0" applyFont="1" applyFill="1" applyBorder="1" applyAlignment="1" applyProtection="1">
      <alignment horizontal="center" vertical="center" wrapText="1"/>
      <protection hidden="1" locked="0"/>
    </xf>
    <xf numFmtId="0" fontId="2" fillId="34" borderId="58" xfId="0" applyFont="1" applyFill="1" applyBorder="1" applyAlignment="1" applyProtection="1">
      <alignment horizontal="center" vertical="center" wrapText="1"/>
      <protection hidden="1" locked="0"/>
    </xf>
    <xf numFmtId="0" fontId="2" fillId="34" borderId="59" xfId="0" applyFont="1" applyFill="1" applyBorder="1" applyAlignment="1" applyProtection="1">
      <alignment horizontal="center" vertical="center" wrapText="1"/>
      <protection hidden="1" locked="0"/>
    </xf>
    <xf numFmtId="0" fontId="3" fillId="34" borderId="27" xfId="0" applyFont="1" applyFill="1" applyBorder="1" applyAlignment="1" applyProtection="1">
      <alignment horizontal="center" vertical="center"/>
      <protection hidden="1" locked="0"/>
    </xf>
    <xf numFmtId="0" fontId="3" fillId="34" borderId="16" xfId="0" applyFont="1" applyFill="1" applyBorder="1" applyAlignment="1" applyProtection="1">
      <alignment horizontal="center" vertical="center"/>
      <protection hidden="1" locked="0"/>
    </xf>
    <xf numFmtId="0" fontId="3" fillId="34" borderId="29" xfId="0" applyFont="1" applyFill="1" applyBorder="1" applyAlignment="1" applyProtection="1">
      <alignment horizontal="center" vertical="center"/>
      <protection hidden="1" locked="0"/>
    </xf>
    <xf numFmtId="0" fontId="3" fillId="13" borderId="27" xfId="0" applyFont="1" applyFill="1" applyBorder="1" applyAlignment="1" applyProtection="1">
      <alignment horizontal="center" vertical="center"/>
      <protection hidden="1" locked="0"/>
    </xf>
    <xf numFmtId="0" fontId="3" fillId="13" borderId="16" xfId="0" applyFont="1" applyFill="1" applyBorder="1" applyAlignment="1" applyProtection="1">
      <alignment horizontal="center" vertical="center"/>
      <protection hidden="1" locked="0"/>
    </xf>
    <xf numFmtId="0" fontId="3" fillId="13" borderId="29" xfId="0" applyFont="1" applyFill="1" applyBorder="1" applyAlignment="1" applyProtection="1">
      <alignment horizontal="center" vertical="center"/>
      <protection hidden="1" locked="0"/>
    </xf>
    <xf numFmtId="0" fontId="2" fillId="13" borderId="30" xfId="0" applyFont="1" applyFill="1" applyBorder="1" applyAlignment="1" applyProtection="1">
      <alignment horizontal="center" vertical="center" wrapText="1"/>
      <protection hidden="1"/>
    </xf>
    <xf numFmtId="0" fontId="2" fillId="13" borderId="15" xfId="0" applyFont="1" applyFill="1" applyBorder="1" applyAlignment="1" applyProtection="1">
      <alignment horizontal="center" vertical="center" wrapText="1"/>
      <protection hidden="1"/>
    </xf>
    <xf numFmtId="0" fontId="2" fillId="13" borderId="31" xfId="0" applyFont="1" applyFill="1" applyBorder="1" applyAlignment="1" applyProtection="1">
      <alignment horizontal="center" vertical="center" wrapText="1"/>
      <protection hidden="1"/>
    </xf>
    <xf numFmtId="0" fontId="2" fillId="13" borderId="57" xfId="0" applyFont="1" applyFill="1" applyBorder="1" applyAlignment="1" applyProtection="1">
      <alignment horizontal="center" vertical="center" wrapText="1"/>
      <protection hidden="1" locked="0"/>
    </xf>
    <xf numFmtId="0" fontId="2" fillId="13" borderId="58" xfId="0" applyFont="1" applyFill="1" applyBorder="1" applyAlignment="1" applyProtection="1">
      <alignment horizontal="center" vertical="center" wrapText="1"/>
      <protection hidden="1" locked="0"/>
    </xf>
    <xf numFmtId="0" fontId="2" fillId="13" borderId="59" xfId="0" applyFont="1" applyFill="1" applyBorder="1" applyAlignment="1" applyProtection="1">
      <alignment horizontal="center" vertical="center" wrapText="1"/>
      <protection hidden="1" locked="0"/>
    </xf>
    <xf numFmtId="0" fontId="2" fillId="13" borderId="60" xfId="0" applyFont="1" applyFill="1" applyBorder="1" applyAlignment="1" applyProtection="1">
      <alignment horizontal="center" vertical="center" wrapText="1"/>
      <protection hidden="1"/>
    </xf>
    <xf numFmtId="0" fontId="2" fillId="13" borderId="17" xfId="0" applyFont="1" applyFill="1" applyBorder="1" applyAlignment="1" applyProtection="1">
      <alignment horizontal="center" vertical="center" wrapText="1"/>
      <protection hidden="1"/>
    </xf>
    <xf numFmtId="0" fontId="2" fillId="13" borderId="61" xfId="0" applyFont="1" applyFill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>
      <alignment horizontal="center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>
      <alignment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>
      <alignment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60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61" xfId="0" applyFont="1" applyFill="1" applyBorder="1" applyAlignment="1" applyProtection="1">
      <alignment horizontal="center" vertical="center" wrapText="1"/>
      <protection hidden="1"/>
    </xf>
    <xf numFmtId="0" fontId="2" fillId="0" borderId="65" xfId="0" applyFont="1" applyFill="1" applyBorder="1" applyAlignment="1" applyProtection="1">
      <alignment horizontal="center" vertical="center" wrapText="1"/>
      <protection hidden="1"/>
    </xf>
    <xf numFmtId="0" fontId="2" fillId="0" borderId="69" xfId="0" applyFont="1" applyFill="1" applyBorder="1" applyAlignment="1" applyProtection="1">
      <alignment horizontal="center" vertical="center" wrapText="1"/>
      <protection hidden="1"/>
    </xf>
    <xf numFmtId="0" fontId="2" fillId="0" borderId="7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 locked="0"/>
    </xf>
    <xf numFmtId="0" fontId="2" fillId="0" borderId="18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horizontal="center" vertical="center" textRotation="90" wrapText="1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center"/>
      <protection hidden="1" locked="0"/>
    </xf>
    <xf numFmtId="0" fontId="3" fillId="0" borderId="45" xfId="0" applyFont="1" applyBorder="1" applyAlignment="1" applyProtection="1">
      <alignment horizontal="center"/>
      <protection hidden="1" locked="0"/>
    </xf>
    <xf numFmtId="0" fontId="3" fillId="0" borderId="52" xfId="0" applyFont="1" applyBorder="1" applyAlignment="1" applyProtection="1">
      <alignment horizontal="center"/>
      <protection hidden="1" locked="0"/>
    </xf>
    <xf numFmtId="0" fontId="2" fillId="34" borderId="54" xfId="0" applyFont="1" applyFill="1" applyBorder="1" applyAlignment="1" applyProtection="1">
      <alignment horizontal="center" vertical="center" wrapText="1"/>
      <protection hidden="1"/>
    </xf>
    <xf numFmtId="0" fontId="2" fillId="34" borderId="55" xfId="0" applyFont="1" applyFill="1" applyBorder="1" applyAlignment="1" applyProtection="1">
      <alignment horizontal="center" vertical="center" wrapText="1"/>
      <protection hidden="1"/>
    </xf>
    <xf numFmtId="0" fontId="2" fillId="34" borderId="56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7" xfId="0" applyFont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9" xfId="0" applyFont="1" applyBorder="1" applyAlignment="1" applyProtection="1">
      <alignment horizontal="center"/>
      <protection hidden="1" locked="0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ill>
        <patternFill>
          <bgColor indexed="15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70"/>
        <c:axId val="45095442"/>
        <c:axId val="3205795"/>
      </c:barChart>
      <c:catAx>
        <c:axId val="450954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205795"/>
        <c:crosses val="autoZero"/>
        <c:auto val="1"/>
        <c:lblOffset val="100"/>
        <c:tickLblSkip val="1"/>
        <c:noMultiLvlLbl val="0"/>
      </c:catAx>
      <c:valAx>
        <c:axId val="3205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50954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75"/>
          <c:y val="0.01025"/>
          <c:w val="0.875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'!$D$3:$D$50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'!$I$3:$I$50</c:f>
              <c:numCache/>
            </c:numRef>
          </c:val>
        </c:ser>
        <c:gapWidth val="10"/>
        <c:axId val="28852156"/>
        <c:axId val="58342813"/>
      </c:barChart>
      <c:catAx>
        <c:axId val="2885215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8342813"/>
        <c:crosses val="autoZero"/>
        <c:auto val="1"/>
        <c:lblOffset val="100"/>
        <c:tickLblSkip val="1"/>
        <c:noMultiLvlLbl val="0"/>
      </c:catAx>
      <c:valAx>
        <c:axId val="5834281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2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875"/>
          <c:y val="0.06875"/>
          <c:w val="0.1127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32</xdr:col>
      <xdr:colOff>133350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6800850" y="0"/>
        <a:ext cx="6315075" cy="1157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SheetLayoutView="100" zoomScalePageLayoutView="0" workbookViewId="0" topLeftCell="C1">
      <selection activeCell="J3" sqref="J3"/>
    </sheetView>
  </sheetViews>
  <sheetFormatPr defaultColWidth="9.00390625" defaultRowHeight="12.75" outlineLevelRow="1"/>
  <cols>
    <col min="1" max="1" width="9.125" style="6" bestFit="1" customWidth="1"/>
    <col min="2" max="2" width="11.25390625" style="6" hidden="1" customWidth="1"/>
    <col min="3" max="3" width="6.25390625" style="6" bestFit="1" customWidth="1"/>
    <col min="4" max="4" width="6.75390625" style="6" customWidth="1"/>
    <col min="5" max="6" width="9.125" style="6" customWidth="1"/>
    <col min="7" max="7" width="6.125" style="6" customWidth="1"/>
    <col min="8" max="8" width="0.12890625" style="6" customWidth="1"/>
    <col min="9" max="9" width="11.125" style="0" bestFit="1" customWidth="1"/>
    <col min="10" max="10" width="10.25390625" style="0" customWidth="1"/>
    <col min="11" max="11" width="11.125" style="0" bestFit="1" customWidth="1"/>
    <col min="12" max="12" width="9.25390625" style="0" bestFit="1" customWidth="1"/>
    <col min="13" max="13" width="11.125" style="0" bestFit="1" customWidth="1"/>
    <col min="14" max="14" width="9.25390625" style="0" bestFit="1" customWidth="1"/>
  </cols>
  <sheetData>
    <row r="1" spans="1:14" ht="12.75">
      <c r="A1" s="217" t="s">
        <v>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3:5" ht="12.75">
      <c r="C2" s="218" t="s">
        <v>10</v>
      </c>
      <c r="D2" s="218"/>
      <c r="E2" s="52" t="s">
        <v>98</v>
      </c>
    </row>
    <row r="3" spans="3:5" ht="15.75">
      <c r="C3" s="218" t="s">
        <v>11</v>
      </c>
      <c r="D3" s="218"/>
      <c r="E3" s="53" t="s">
        <v>99</v>
      </c>
    </row>
    <row r="4" spans="3:5" ht="12.75">
      <c r="C4" s="218" t="s">
        <v>34</v>
      </c>
      <c r="D4" s="218"/>
      <c r="E4" s="54" t="s">
        <v>362</v>
      </c>
    </row>
    <row r="5" spans="3:5" ht="12.75">
      <c r="C5" s="218" t="s">
        <v>92</v>
      </c>
      <c r="D5" s="218"/>
      <c r="E5" s="55" t="s">
        <v>340</v>
      </c>
    </row>
    <row r="6" spans="3:12" ht="12.75">
      <c r="C6" s="218" t="s">
        <v>35</v>
      </c>
      <c r="D6" s="218"/>
      <c r="E6" s="55" t="s">
        <v>361</v>
      </c>
      <c r="J6" s="219" t="s">
        <v>93</v>
      </c>
      <c r="K6" s="219"/>
      <c r="L6" t="s">
        <v>144</v>
      </c>
    </row>
    <row r="7" spans="2:5" ht="12.75">
      <c r="B7" s="5"/>
      <c r="C7" s="230"/>
      <c r="D7" s="230"/>
      <c r="E7" s="230"/>
    </row>
    <row r="8" spans="1:14" ht="12.75" customHeight="1">
      <c r="A8" s="216" t="s">
        <v>30</v>
      </c>
      <c r="B8" s="216" t="s">
        <v>32</v>
      </c>
      <c r="C8" s="221" t="s">
        <v>36</v>
      </c>
      <c r="D8" s="222"/>
      <c r="E8" s="216" t="s">
        <v>39</v>
      </c>
      <c r="F8" s="216"/>
      <c r="G8" s="216"/>
      <c r="H8" s="216"/>
      <c r="I8" s="223" t="s">
        <v>40</v>
      </c>
      <c r="J8" s="223"/>
      <c r="K8" s="223" t="s">
        <v>41</v>
      </c>
      <c r="L8" s="223"/>
      <c r="M8" s="223" t="s">
        <v>48</v>
      </c>
      <c r="N8" s="223"/>
    </row>
    <row r="9" spans="1:14" s="11" customFormat="1" ht="25.5">
      <c r="A9" s="216"/>
      <c r="B9" s="216"/>
      <c r="C9" s="12" t="s">
        <v>51</v>
      </c>
      <c r="D9" s="12" t="s">
        <v>52</v>
      </c>
      <c r="E9" s="216"/>
      <c r="F9" s="216"/>
      <c r="G9" s="216"/>
      <c r="H9" s="216"/>
      <c r="I9" s="12" t="s">
        <v>42</v>
      </c>
      <c r="J9" s="12" t="s">
        <v>43</v>
      </c>
      <c r="K9" s="12" t="s">
        <v>47</v>
      </c>
      <c r="L9" s="12" t="s">
        <v>44</v>
      </c>
      <c r="M9" s="12" t="s">
        <v>47</v>
      </c>
      <c r="N9" s="12" t="s">
        <v>44</v>
      </c>
    </row>
    <row r="10" spans="1:14" s="11" customFormat="1" ht="15.75">
      <c r="A10" s="220" t="s">
        <v>37</v>
      </c>
      <c r="B10" s="220"/>
      <c r="C10" s="19">
        <f>SUM(C11:C23)</f>
        <v>140</v>
      </c>
      <c r="D10" s="19">
        <f>SUM(D11:D23)</f>
        <v>140</v>
      </c>
      <c r="E10" s="224"/>
      <c r="F10" s="225"/>
      <c r="G10" s="225"/>
      <c r="H10" s="226"/>
      <c r="I10" s="15">
        <f>SUM(I11:I26)</f>
        <v>1778661</v>
      </c>
      <c r="J10" s="16">
        <f>IF(I10&gt;0,I10/$C10,"")</f>
        <v>12704.721428571429</v>
      </c>
      <c r="K10" s="16">
        <f>SUM(K11:K26)</f>
        <v>1569720</v>
      </c>
      <c r="L10" s="16">
        <f aca="true" t="shared" si="0" ref="L10:L23">IF(K10&gt;0,K10/$D10,"")</f>
        <v>11212.285714285714</v>
      </c>
      <c r="M10" s="16">
        <f>SUM(M11:M26)</f>
        <v>3348381</v>
      </c>
      <c r="N10" s="16">
        <f>IF(M10&gt;0,M10/(SUM(C10:D10)),"")</f>
        <v>11958.503571428571</v>
      </c>
    </row>
    <row r="11" spans="1:14" ht="15.75">
      <c r="A11" s="14" t="s">
        <v>19</v>
      </c>
      <c r="B11" s="13">
        <v>3</v>
      </c>
      <c r="C11" s="20">
        <f>IF(ISBLANK($A11),"",COUNTA('1. závod'!$C$4:$C$28))</f>
        <v>15</v>
      </c>
      <c r="D11" s="20">
        <f>IF(ISBLANK($A11),"",COUNTA('2. závod'!$C$4:$C$28))</f>
        <v>15</v>
      </c>
      <c r="E11" s="216"/>
      <c r="F11" s="216"/>
      <c r="G11" s="216"/>
      <c r="H11" s="216"/>
      <c r="I11" s="17">
        <f>SUM('1. závod'!C:C)</f>
        <v>107293</v>
      </c>
      <c r="J11" s="16">
        <f aca="true" t="shared" si="1" ref="J11:J23">IF(I11&gt;0,I11/$C11,"")</f>
        <v>7152.866666666667</v>
      </c>
      <c r="K11" s="17">
        <f>SUM('2. závod'!C:C)</f>
        <v>135600</v>
      </c>
      <c r="L11" s="16">
        <f t="shared" si="0"/>
        <v>9040</v>
      </c>
      <c r="M11" s="17">
        <f>SUM(I11,K11)</f>
        <v>242893</v>
      </c>
      <c r="N11" s="16">
        <f aca="true" t="shared" si="2" ref="N11:N23">IF(M11&gt;0,M11/(SUM(C11:D11)),"")</f>
        <v>8096.433333333333</v>
      </c>
    </row>
    <row r="12" spans="1:14" ht="15.75">
      <c r="A12" s="14" t="s">
        <v>24</v>
      </c>
      <c r="B12" s="13">
        <f>IF(ISBLANK(A12),"",B11+5)</f>
        <v>8</v>
      </c>
      <c r="C12" s="20">
        <f>IF(ISBLANK($A12),"",COUNTA('1. závod'!$H$4:$H$28))</f>
        <v>15</v>
      </c>
      <c r="D12" s="20">
        <f>IF(ISBLANK($A12),"",COUNTA('2. závod'!$M$4:$M$28))</f>
        <v>15</v>
      </c>
      <c r="E12" s="216"/>
      <c r="F12" s="216"/>
      <c r="G12" s="216"/>
      <c r="H12" s="216"/>
      <c r="I12" s="17">
        <f>SUM('1. závod'!H:H)</f>
        <v>104820</v>
      </c>
      <c r="J12" s="16">
        <f t="shared" si="1"/>
        <v>6988</v>
      </c>
      <c r="K12" s="17">
        <f>SUM('2. závod'!H:H)</f>
        <v>79420</v>
      </c>
      <c r="L12" s="16">
        <f t="shared" si="0"/>
        <v>5294.666666666667</v>
      </c>
      <c r="M12" s="17">
        <f aca="true" t="shared" si="3" ref="M12:M17">SUM(I12,K12)</f>
        <v>184240</v>
      </c>
      <c r="N12" s="16">
        <f t="shared" si="2"/>
        <v>6141.333333333333</v>
      </c>
    </row>
    <row r="13" spans="1:14" ht="15.75">
      <c r="A13" s="14" t="s">
        <v>23</v>
      </c>
      <c r="B13" s="13">
        <f aca="true" t="shared" si="4" ref="B13:B23">IF(ISBLANK(A13),"",B12+5)</f>
        <v>13</v>
      </c>
      <c r="C13" s="20">
        <f>IF(ISBLANK($A13),"",COUNTA('1. závod'!$M$4:$M$28))</f>
        <v>15</v>
      </c>
      <c r="D13" s="20">
        <f>IF(ISBLANK($A13),"",COUNTA('2. závod'!$M$4:$M$28))</f>
        <v>15</v>
      </c>
      <c r="E13" s="216"/>
      <c r="F13" s="216"/>
      <c r="G13" s="216"/>
      <c r="H13" s="216"/>
      <c r="I13" s="17">
        <f>SUM('1. závod'!M:M)</f>
        <v>123545</v>
      </c>
      <c r="J13" s="16">
        <f t="shared" si="1"/>
        <v>8236.333333333334</v>
      </c>
      <c r="K13" s="17">
        <f>SUM('2. závod'!M:M)</f>
        <v>97530</v>
      </c>
      <c r="L13" s="16">
        <f t="shared" si="0"/>
        <v>6502</v>
      </c>
      <c r="M13" s="17">
        <f t="shared" si="3"/>
        <v>221075</v>
      </c>
      <c r="N13" s="16">
        <f t="shared" si="2"/>
        <v>7369.166666666667</v>
      </c>
    </row>
    <row r="14" spans="1:14" ht="15.75">
      <c r="A14" s="14" t="s">
        <v>20</v>
      </c>
      <c r="B14" s="13">
        <f t="shared" si="4"/>
        <v>18</v>
      </c>
      <c r="C14" s="20">
        <f>IF(ISBLANK($A14),"",COUNTA('1. závod'!$R$4:$R$28))</f>
        <v>16</v>
      </c>
      <c r="D14" s="20">
        <f>IF(ISBLANK($A14),"",COUNTA('2. závod'!$R$4:$R$28))</f>
        <v>16</v>
      </c>
      <c r="E14" s="216"/>
      <c r="F14" s="216"/>
      <c r="G14" s="216"/>
      <c r="H14" s="216"/>
      <c r="I14" s="17">
        <f>SUM('1. závod'!R:R)</f>
        <v>128155</v>
      </c>
      <c r="J14" s="16">
        <f t="shared" si="1"/>
        <v>8009.6875</v>
      </c>
      <c r="K14" s="17">
        <f>SUM('2. závod'!R:R)</f>
        <v>57440</v>
      </c>
      <c r="L14" s="16">
        <f t="shared" si="0"/>
        <v>3590</v>
      </c>
      <c r="M14" s="17">
        <f t="shared" si="3"/>
        <v>185595</v>
      </c>
      <c r="N14" s="16">
        <f t="shared" si="2"/>
        <v>5799.84375</v>
      </c>
    </row>
    <row r="15" spans="1:14" ht="15.75" outlineLevel="1">
      <c r="A15" s="14" t="s">
        <v>21</v>
      </c>
      <c r="B15" s="13">
        <f t="shared" si="4"/>
        <v>23</v>
      </c>
      <c r="C15" s="20">
        <f>IF(ISBLANK($A15),"",COUNTA('1. závod'!$W$4:$W$28))</f>
        <v>16</v>
      </c>
      <c r="D15" s="20">
        <f>IF(ISBLANK($A15),"",COUNTA('2. závod'!$W$4:$W$27))</f>
        <v>16</v>
      </c>
      <c r="E15" s="224"/>
      <c r="F15" s="225"/>
      <c r="G15" s="225"/>
      <c r="H15" s="226"/>
      <c r="I15" s="17">
        <f>SUM('1. závod'!W:W)</f>
        <v>167268</v>
      </c>
      <c r="J15" s="16">
        <f t="shared" si="1"/>
        <v>10454.25</v>
      </c>
      <c r="K15" s="17">
        <f>SUM('2. závod'!W:W)</f>
        <v>79960</v>
      </c>
      <c r="L15" s="16">
        <f t="shared" si="0"/>
        <v>4997.5</v>
      </c>
      <c r="M15" s="17">
        <f t="shared" si="3"/>
        <v>247228</v>
      </c>
      <c r="N15" s="16">
        <f t="shared" si="2"/>
        <v>7725.875</v>
      </c>
    </row>
    <row r="16" spans="1:14" ht="15.75" outlineLevel="1">
      <c r="A16" s="14" t="s">
        <v>25</v>
      </c>
      <c r="B16" s="13">
        <f t="shared" si="4"/>
        <v>28</v>
      </c>
      <c r="C16" s="20">
        <f>IF(ISBLANK($A16),"",COUNTA('1. závod'!$AB$4:$AB$28))</f>
        <v>16</v>
      </c>
      <c r="D16" s="20">
        <f>IF(ISBLANK($A16),"",COUNTA('2. závod'!$AB$4:$AB$27))</f>
        <v>16</v>
      </c>
      <c r="E16" s="216"/>
      <c r="F16" s="216"/>
      <c r="G16" s="216"/>
      <c r="H16" s="216"/>
      <c r="I16" s="17">
        <f>SUM('1. závod'!AB:AB)</f>
        <v>110440</v>
      </c>
      <c r="J16" s="16">
        <f t="shared" si="1"/>
        <v>6902.5</v>
      </c>
      <c r="K16" s="17">
        <f>SUM('2. závod'!AB:AB)</f>
        <v>123830</v>
      </c>
      <c r="L16" s="16">
        <f t="shared" si="0"/>
        <v>7739.375</v>
      </c>
      <c r="M16" s="17">
        <f t="shared" si="3"/>
        <v>234270</v>
      </c>
      <c r="N16" s="16">
        <f t="shared" si="2"/>
        <v>7320.9375</v>
      </c>
    </row>
    <row r="17" spans="1:14" ht="15.75" hidden="1" outlineLevel="1">
      <c r="A17" s="14" t="s">
        <v>22</v>
      </c>
      <c r="B17" s="13">
        <f t="shared" si="4"/>
        <v>33</v>
      </c>
      <c r="C17" s="20">
        <f>IF(ISBLANK($A17),"",COUNTA('1. závod'!$AG$4:$AG$28))</f>
        <v>16</v>
      </c>
      <c r="D17" s="20">
        <f>IF(ISBLANK($A17),"",COUNTA('2. závod'!$AG$4:$AG$27))</f>
        <v>16</v>
      </c>
      <c r="E17" s="216"/>
      <c r="F17" s="216"/>
      <c r="G17" s="216"/>
      <c r="H17" s="216"/>
      <c r="I17" s="17">
        <f>SUM('1. závod'!AG:AG)</f>
        <v>169100</v>
      </c>
      <c r="J17" s="16">
        <f t="shared" si="1"/>
        <v>10568.75</v>
      </c>
      <c r="K17" s="17">
        <f>SUM('2. závod'!AG:AG)</f>
        <v>165090</v>
      </c>
      <c r="L17" s="16">
        <f t="shared" si="0"/>
        <v>10318.125</v>
      </c>
      <c r="M17" s="17">
        <f t="shared" si="3"/>
        <v>334190</v>
      </c>
      <c r="N17" s="16">
        <f t="shared" si="2"/>
        <v>10443.4375</v>
      </c>
    </row>
    <row r="18" spans="1:14" ht="15.75" hidden="1" outlineLevel="1">
      <c r="A18" s="14" t="s">
        <v>50</v>
      </c>
      <c r="B18" s="13">
        <f t="shared" si="4"/>
        <v>38</v>
      </c>
      <c r="C18" s="20">
        <f>IF(ISBLANK($A18),"",COUNTA('1. závod'!$AL$4:$AL$28))</f>
        <v>16</v>
      </c>
      <c r="D18" s="20">
        <f>IF(ISBLANK($A18),"",COUNTA('2. závod'!$AL$4:$AL$27))</f>
        <v>16</v>
      </c>
      <c r="E18" s="216"/>
      <c r="F18" s="216"/>
      <c r="G18" s="216"/>
      <c r="H18" s="216"/>
      <c r="I18" s="17">
        <f>SUM('1. závod'!AL:AL)</f>
        <v>156800</v>
      </c>
      <c r="J18" s="16">
        <f t="shared" si="1"/>
        <v>9800</v>
      </c>
      <c r="K18" s="17">
        <f>SUM('2. závod'!AL:AL)</f>
        <v>140520</v>
      </c>
      <c r="L18" s="16">
        <f t="shared" si="0"/>
        <v>8782.5</v>
      </c>
      <c r="M18" s="17">
        <f aca="true" t="shared" si="5" ref="M18:M23">SUM(I18,K18)</f>
        <v>297320</v>
      </c>
      <c r="N18" s="16">
        <f t="shared" si="2"/>
        <v>9291.25</v>
      </c>
    </row>
    <row r="19" spans="1:14" ht="15.75" hidden="1" outlineLevel="1">
      <c r="A19" s="14" t="s">
        <v>55</v>
      </c>
      <c r="B19" s="13">
        <f t="shared" si="4"/>
        <v>43</v>
      </c>
      <c r="C19" s="20">
        <f>IF(ISBLANK($A19),"",COUNTA('1. závod'!$AQ$4:$AQ$28))</f>
        <v>15</v>
      </c>
      <c r="D19" s="20">
        <f>IF(ISBLANK($A19),"",COUNTA('2. závod'!$AQ$4:$AQ$27))</f>
        <v>15</v>
      </c>
      <c r="E19" s="216"/>
      <c r="F19" s="216"/>
      <c r="G19" s="216"/>
      <c r="H19" s="216"/>
      <c r="I19" s="17">
        <f>SUM('1. závod'!AQ:AQ)</f>
        <v>192670</v>
      </c>
      <c r="J19" s="16">
        <f t="shared" si="1"/>
        <v>12844.666666666666</v>
      </c>
      <c r="K19" s="17">
        <f>SUM('2. závod'!AQ:AQ)</f>
        <v>192360</v>
      </c>
      <c r="L19" s="16">
        <f t="shared" si="0"/>
        <v>12824</v>
      </c>
      <c r="M19" s="17">
        <f t="shared" si="5"/>
        <v>385030</v>
      </c>
      <c r="N19" s="16">
        <f t="shared" si="2"/>
        <v>12834.333333333334</v>
      </c>
    </row>
    <row r="20" spans="1:14" ht="15.75" hidden="1" outlineLevel="1">
      <c r="A20" s="14" t="s">
        <v>56</v>
      </c>
      <c r="B20" s="13">
        <f t="shared" si="4"/>
        <v>48</v>
      </c>
      <c r="C20" s="20">
        <f>IF(ISBLANK($A20),"",COUNTA('1. závod'!$AV$4:$AV$28))</f>
        <v>0</v>
      </c>
      <c r="D20" s="20">
        <f>IF(ISBLANK($A20),"",COUNTA('2. závod'!$AV$4:$AV$27))</f>
        <v>0</v>
      </c>
      <c r="E20" s="224"/>
      <c r="F20" s="225"/>
      <c r="G20" s="225"/>
      <c r="H20" s="226"/>
      <c r="I20" s="17">
        <f>SUM('1. závod'!AV:AV)</f>
        <v>0</v>
      </c>
      <c r="J20" s="16">
        <f t="shared" si="1"/>
      </c>
      <c r="K20" s="17">
        <f>SUM('2. závod'!AV:AV)</f>
        <v>0</v>
      </c>
      <c r="L20" s="16">
        <f t="shared" si="0"/>
      </c>
      <c r="M20" s="17">
        <f t="shared" si="5"/>
        <v>0</v>
      </c>
      <c r="N20" s="16">
        <f t="shared" si="2"/>
      </c>
    </row>
    <row r="21" spans="1:14" ht="15.75" hidden="1" outlineLevel="1">
      <c r="A21" s="14" t="s">
        <v>57</v>
      </c>
      <c r="B21" s="13">
        <f t="shared" si="4"/>
        <v>53</v>
      </c>
      <c r="C21" s="20">
        <f>IF(ISBLANK($A21),"",COUNTA('1. závod'!$BA$4:$BA$28))</f>
        <v>0</v>
      </c>
      <c r="D21" s="20">
        <f>IF(ISBLANK($A21),"",COUNTA('2. závod'!$BA$4:$BA$27))</f>
        <v>0</v>
      </c>
      <c r="E21" s="216"/>
      <c r="F21" s="216"/>
      <c r="G21" s="216"/>
      <c r="H21" s="216"/>
      <c r="I21" s="17">
        <f>SUM('1. závod'!BA:BA)</f>
        <v>0</v>
      </c>
      <c r="J21" s="16">
        <f t="shared" si="1"/>
      </c>
      <c r="K21" s="17">
        <f>SUM('2. závod'!BA:BA)</f>
        <v>0</v>
      </c>
      <c r="L21" s="16">
        <f t="shared" si="0"/>
      </c>
      <c r="M21" s="17">
        <f t="shared" si="5"/>
        <v>0</v>
      </c>
      <c r="N21" s="16">
        <f t="shared" si="2"/>
      </c>
    </row>
    <row r="22" spans="1:14" ht="15.75" hidden="1" outlineLevel="1">
      <c r="A22" s="14" t="s">
        <v>58</v>
      </c>
      <c r="B22" s="13">
        <f t="shared" si="4"/>
        <v>58</v>
      </c>
      <c r="C22" s="20">
        <f>IF(ISBLANK($A22),"",COUNTA('1. závod'!$BF$4:$BF$28))</f>
        <v>0</v>
      </c>
      <c r="D22" s="20">
        <f>IF(ISBLANK($A22),"",COUNTA('2. závod'!$BF$4:$BF$27))</f>
        <v>0</v>
      </c>
      <c r="E22" s="216"/>
      <c r="F22" s="216"/>
      <c r="G22" s="216"/>
      <c r="H22" s="216"/>
      <c r="I22" s="17">
        <f>SUM('1. závod'!BF:BF)</f>
        <v>0</v>
      </c>
      <c r="J22" s="16">
        <f t="shared" si="1"/>
      </c>
      <c r="K22" s="17">
        <f>SUM('2. závod'!BF:BF)</f>
        <v>0</v>
      </c>
      <c r="L22" s="16">
        <f t="shared" si="0"/>
      </c>
      <c r="M22" s="17">
        <f t="shared" si="5"/>
        <v>0</v>
      </c>
      <c r="N22" s="16">
        <f t="shared" si="2"/>
      </c>
    </row>
    <row r="23" spans="1:14" ht="15.75" hidden="1" outlineLevel="1">
      <c r="A23" s="14" t="s">
        <v>53</v>
      </c>
      <c r="B23" s="13">
        <f t="shared" si="4"/>
        <v>63</v>
      </c>
      <c r="C23" s="20">
        <f>IF(ISBLANK($A23),"",COUNTA('1. závod'!$BK$4:$BK$28))</f>
        <v>0</v>
      </c>
      <c r="D23" s="20">
        <f>IF(ISBLANK($A23),"",COUNTA('2. závod'!$BK$4:$BK$27))</f>
        <v>0</v>
      </c>
      <c r="E23" s="216"/>
      <c r="F23" s="216"/>
      <c r="G23" s="216"/>
      <c r="H23" s="216"/>
      <c r="I23" s="17">
        <f>SUM('1. závod'!BK:BK)</f>
        <v>0</v>
      </c>
      <c r="J23" s="16">
        <f t="shared" si="1"/>
      </c>
      <c r="K23" s="17">
        <f>SUM('2. závod'!BK:BK)</f>
        <v>0</v>
      </c>
      <c r="L23" s="16">
        <f t="shared" si="0"/>
      </c>
      <c r="M23" s="17">
        <f t="shared" si="5"/>
        <v>0</v>
      </c>
      <c r="N23" s="16">
        <f t="shared" si="2"/>
      </c>
    </row>
    <row r="24" spans="1:14" ht="15.75" outlineLevel="1">
      <c r="A24" s="146" t="s">
        <v>22</v>
      </c>
      <c r="B24" s="147">
        <f>IF(ISBLANK(A24),"",B23+5)</f>
        <v>68</v>
      </c>
      <c r="C24" s="148">
        <f>IF(ISBLANK($A17),"",COUNTA('1. závod'!$AB$4:$AB$28))</f>
        <v>16</v>
      </c>
      <c r="D24" s="148">
        <f>IF(ISBLANK($A24),"",COUNTA('2. závod'!$AB$4:$AB$27))</f>
        <v>16</v>
      </c>
      <c r="E24" s="215"/>
      <c r="F24" s="215"/>
      <c r="G24" s="215"/>
      <c r="H24" s="215"/>
      <c r="I24" s="149">
        <f>SUM('1. závod'!AG:AG)</f>
        <v>169100</v>
      </c>
      <c r="J24" s="150">
        <f>IF(I17&gt;0,I17/$C17,"")</f>
        <v>10568.75</v>
      </c>
      <c r="K24" s="149">
        <f>SUM('2. závod'!AG:AG)</f>
        <v>165090</v>
      </c>
      <c r="L24" s="150">
        <f>IF(K17&gt;0,K17/$D17,"")</f>
        <v>10318.125</v>
      </c>
      <c r="M24" s="149">
        <f>SUM(I17,K17)</f>
        <v>334190</v>
      </c>
      <c r="N24" s="150">
        <f>IF(M17&gt;0,M17/(SUM(C17:D17)),"")</f>
        <v>10443.4375</v>
      </c>
    </row>
    <row r="25" spans="1:14" ht="15.75" outlineLevel="1">
      <c r="A25" s="146" t="s">
        <v>50</v>
      </c>
      <c r="B25" s="147">
        <f>IF(ISBLANK(A25),"",B24+5)</f>
        <v>73</v>
      </c>
      <c r="C25" s="148">
        <f>IF(ISBLANK($A18),"",COUNTA('1. závod'!$AB$4:$AB$28))</f>
        <v>16</v>
      </c>
      <c r="D25" s="148">
        <f>IF(ISBLANK($A25),"",COUNTA('2. závod'!$AB$4:$AB$27))</f>
        <v>16</v>
      </c>
      <c r="E25" s="215"/>
      <c r="F25" s="215"/>
      <c r="G25" s="215"/>
      <c r="H25" s="215"/>
      <c r="I25" s="149">
        <f>SUM('1. závod'!AL:AL)</f>
        <v>156800</v>
      </c>
      <c r="J25" s="150">
        <f>IF(I18&gt;0,I18/$C18,"")</f>
        <v>9800</v>
      </c>
      <c r="K25" s="149">
        <f>SUM('2. závod'!AL:AL)</f>
        <v>140520</v>
      </c>
      <c r="L25" s="150">
        <f>IF(K25&gt;0,K25/$D25,"")</f>
        <v>8782.5</v>
      </c>
      <c r="M25" s="149">
        <f>SUM(I18,K18)</f>
        <v>297320</v>
      </c>
      <c r="N25" s="150">
        <f>IF(M18&gt;0,M18/(SUM(C18:D18)),"")</f>
        <v>9291.25</v>
      </c>
    </row>
    <row r="26" spans="1:14" ht="15.75" outlineLevel="1">
      <c r="A26" s="146" t="s">
        <v>55</v>
      </c>
      <c r="B26" s="147">
        <f>IF(ISBLANK(A26),"",B25+5)</f>
        <v>78</v>
      </c>
      <c r="C26" s="148">
        <v>15</v>
      </c>
      <c r="D26" s="148">
        <v>15</v>
      </c>
      <c r="E26" s="215"/>
      <c r="F26" s="215"/>
      <c r="G26" s="215"/>
      <c r="H26" s="215"/>
      <c r="I26" s="149">
        <f>SUM('1. závod'!AQ:AQ)</f>
        <v>192670</v>
      </c>
      <c r="J26" s="150">
        <f>IF(I19&gt;0,I19/$C19,"")</f>
        <v>12844.666666666666</v>
      </c>
      <c r="K26" s="149">
        <f>SUM('2. závod'!AQ:AQ)</f>
        <v>192360</v>
      </c>
      <c r="L26" s="150">
        <f>IF(K19&gt;0,K19/$D19,"")</f>
        <v>12824</v>
      </c>
      <c r="M26" s="149">
        <f>SUM(I19,K19)</f>
        <v>385030</v>
      </c>
      <c r="N26" s="150">
        <f>IF(M19&gt;0,M19/(SUM(C19:D19)),"")</f>
        <v>12834.333333333334</v>
      </c>
    </row>
    <row r="27" spans="1:14" ht="15.75" outlineLevel="1">
      <c r="A27" s="104"/>
      <c r="B27" s="105"/>
      <c r="C27" s="106"/>
      <c r="D27" s="20"/>
      <c r="E27" s="102"/>
      <c r="F27" s="102"/>
      <c r="G27" s="102"/>
      <c r="H27" s="102"/>
      <c r="I27" s="17"/>
      <c r="J27" s="16"/>
      <c r="K27" s="17"/>
      <c r="L27" s="107"/>
      <c r="M27" s="108"/>
      <c r="N27" s="107"/>
    </row>
    <row r="28" spans="4:11" ht="15.75">
      <c r="D28" s="229" t="s">
        <v>49</v>
      </c>
      <c r="E28" s="229"/>
      <c r="F28" s="229"/>
      <c r="G28" s="229"/>
      <c r="H28" s="229"/>
      <c r="I28" s="21">
        <f>MAX('Výsledková listina'!H9:H148)</f>
        <v>25850</v>
      </c>
      <c r="J28" s="22"/>
      <c r="K28" s="21">
        <f>MAX('Výsledková listina'!L9:L148)</f>
        <v>25700</v>
      </c>
    </row>
    <row r="30" spans="5:9" ht="12.75">
      <c r="E30" s="6" t="s">
        <v>68</v>
      </c>
      <c r="I30">
        <f>COUNTIF('Výsledková listina'!$C:$C,"m")</f>
        <v>126</v>
      </c>
    </row>
    <row r="31" spans="5:9" ht="12.75">
      <c r="E31" s="6" t="s">
        <v>64</v>
      </c>
      <c r="I31">
        <f>COUNTIF('Výsledková listina'!$C:$C,"J")+COUNTIF('Výsledková listina'!$C:$C,"jž")</f>
        <v>2</v>
      </c>
    </row>
    <row r="32" spans="5:9" ht="12.75">
      <c r="E32" s="6" t="s">
        <v>65</v>
      </c>
      <c r="I32">
        <f>COUNTIF('Výsledková listina'!$C:$C,"KŽ")+COUNTIF('Výsledková listina'!$C:$C,"k")</f>
        <v>6</v>
      </c>
    </row>
    <row r="33" spans="5:9" ht="12.75">
      <c r="E33" s="6" t="s">
        <v>66</v>
      </c>
      <c r="I33">
        <f>COUNTIF('Výsledková listina'!$C:$C,"Ž")+COUNTIF('Výsledková listina'!$C:$C,"JŽ")+COUNTIF('Výsledková listina'!$C:$C,"KŽ")</f>
        <v>3</v>
      </c>
    </row>
    <row r="34" spans="5:9" ht="12.75">
      <c r="E34" s="6" t="s">
        <v>67</v>
      </c>
      <c r="I34">
        <f>COUNTIF('Výsledková listina'!$C:$C,"H")</f>
        <v>0</v>
      </c>
    </row>
    <row r="38" spans="1:14" s="46" customFormat="1" ht="12.75">
      <c r="A38" s="5"/>
      <c r="B38" s="5"/>
      <c r="C38" s="27" t="s">
        <v>40</v>
      </c>
      <c r="D38" s="6"/>
      <c r="E38" s="6"/>
      <c r="F38" s="6"/>
      <c r="G38" s="6"/>
      <c r="H38" s="6"/>
      <c r="I38" s="6"/>
      <c r="J38" s="45"/>
      <c r="K38" s="45"/>
      <c r="L38" s="45"/>
      <c r="M38" s="227"/>
      <c r="N38" s="228"/>
    </row>
    <row r="39" spans="3:14" ht="12.75">
      <c r="C39" s="239" t="s">
        <v>90</v>
      </c>
      <c r="D39" s="239"/>
      <c r="E39" s="236" t="s">
        <v>95</v>
      </c>
      <c r="F39" s="237"/>
      <c r="G39" s="238"/>
      <c r="H39" s="47" t="s">
        <v>46</v>
      </c>
      <c r="I39" s="236" t="s">
        <v>96</v>
      </c>
      <c r="J39" s="237"/>
      <c r="K39" s="237"/>
      <c r="L39" s="237"/>
      <c r="M39" s="238"/>
      <c r="N39" s="48" t="s">
        <v>97</v>
      </c>
    </row>
    <row r="40" spans="3:14" ht="12.75">
      <c r="C40" s="231"/>
      <c r="D40" s="232"/>
      <c r="E40" s="240"/>
      <c r="F40" s="234"/>
      <c r="G40" s="235"/>
      <c r="H40" s="49"/>
      <c r="I40" s="236"/>
      <c r="J40" s="237"/>
      <c r="K40" s="237"/>
      <c r="L40" s="237"/>
      <c r="M40" s="238"/>
      <c r="N40" s="50"/>
    </row>
    <row r="41" spans="3:14" ht="12.75">
      <c r="C41" s="231"/>
      <c r="D41" s="232"/>
      <c r="E41" s="233"/>
      <c r="F41" s="234"/>
      <c r="G41" s="235"/>
      <c r="H41" s="49"/>
      <c r="I41" s="236"/>
      <c r="J41" s="237"/>
      <c r="K41" s="237"/>
      <c r="L41" s="237"/>
      <c r="M41" s="238"/>
      <c r="N41" s="50"/>
    </row>
    <row r="43" spans="3:14" ht="12.75">
      <c r="C43" s="27" t="s">
        <v>41</v>
      </c>
      <c r="I43" s="6"/>
      <c r="J43" s="45"/>
      <c r="K43" s="45"/>
      <c r="L43" s="45"/>
      <c r="M43" s="45"/>
      <c r="N43" s="45"/>
    </row>
    <row r="44" spans="3:14" ht="12.75">
      <c r="C44" s="239" t="s">
        <v>90</v>
      </c>
      <c r="D44" s="239"/>
      <c r="E44" s="236" t="s">
        <v>95</v>
      </c>
      <c r="F44" s="237"/>
      <c r="G44" s="238"/>
      <c r="H44" s="47" t="s">
        <v>46</v>
      </c>
      <c r="I44" s="236" t="s">
        <v>96</v>
      </c>
      <c r="J44" s="237"/>
      <c r="K44" s="237"/>
      <c r="L44" s="237"/>
      <c r="M44" s="238"/>
      <c r="N44" s="48" t="s">
        <v>97</v>
      </c>
    </row>
    <row r="45" spans="3:14" ht="12.75">
      <c r="C45" s="231"/>
      <c r="D45" s="232"/>
      <c r="E45" s="233"/>
      <c r="F45" s="234"/>
      <c r="G45" s="235"/>
      <c r="H45" s="51"/>
      <c r="I45" s="236"/>
      <c r="J45" s="237"/>
      <c r="K45" s="237"/>
      <c r="L45" s="237"/>
      <c r="M45" s="238"/>
      <c r="N45" s="50"/>
    </row>
    <row r="46" spans="3:14" ht="12.75">
      <c r="C46" s="231"/>
      <c r="D46" s="232"/>
      <c r="E46" s="233"/>
      <c r="F46" s="234"/>
      <c r="G46" s="235"/>
      <c r="H46" s="51"/>
      <c r="I46" s="236"/>
      <c r="J46" s="237"/>
      <c r="K46" s="237"/>
      <c r="L46" s="237"/>
      <c r="M46" s="238"/>
      <c r="N46" s="50"/>
    </row>
    <row r="47" spans="3:14" ht="12.75">
      <c r="C47" s="231"/>
      <c r="D47" s="232"/>
      <c r="E47" s="233"/>
      <c r="F47" s="234"/>
      <c r="G47" s="235"/>
      <c r="H47" s="51"/>
      <c r="I47" s="236"/>
      <c r="J47" s="237"/>
      <c r="K47" s="237"/>
      <c r="L47" s="237"/>
      <c r="M47" s="238"/>
      <c r="N47" s="50"/>
    </row>
    <row r="53" ht="12.75">
      <c r="A53" s="27" t="s">
        <v>69</v>
      </c>
    </row>
    <row r="54" ht="12.75">
      <c r="A54" s="27" t="s">
        <v>70</v>
      </c>
    </row>
    <row r="55" ht="12.75">
      <c r="A55" s="6" t="s">
        <v>72</v>
      </c>
    </row>
    <row r="56" ht="12.75">
      <c r="A56" s="6" t="s">
        <v>71</v>
      </c>
    </row>
    <row r="57" ht="11.25" customHeight="1">
      <c r="A57" s="6" t="s">
        <v>73</v>
      </c>
    </row>
    <row r="58" ht="12.75">
      <c r="A58" s="6" t="s">
        <v>82</v>
      </c>
    </row>
    <row r="60" ht="12.75">
      <c r="A60" s="27" t="s">
        <v>74</v>
      </c>
    </row>
    <row r="61" ht="12.75">
      <c r="A61" s="29" t="s">
        <v>75</v>
      </c>
    </row>
    <row r="62" ht="12.75">
      <c r="A62" s="6" t="s">
        <v>76</v>
      </c>
    </row>
    <row r="63" ht="12.75">
      <c r="A63" s="6" t="s">
        <v>81</v>
      </c>
    </row>
    <row r="66" ht="12.75">
      <c r="A66" s="27" t="s">
        <v>70</v>
      </c>
    </row>
    <row r="67" ht="12.75">
      <c r="A67" s="6" t="s">
        <v>77</v>
      </c>
    </row>
    <row r="68" ht="12.75">
      <c r="A68" s="6" t="s">
        <v>78</v>
      </c>
    </row>
    <row r="69" ht="12.75">
      <c r="A69" s="6" t="s">
        <v>79</v>
      </c>
    </row>
    <row r="70" ht="12.75">
      <c r="A70" s="6" t="s">
        <v>80</v>
      </c>
    </row>
    <row r="72" ht="12.75">
      <c r="A72" s="27" t="s">
        <v>84</v>
      </c>
    </row>
    <row r="73" ht="12.75">
      <c r="A73" s="6" t="s">
        <v>85</v>
      </c>
    </row>
  </sheetData>
  <sheetProtection/>
  <mergeCells count="56">
    <mergeCell ref="C44:D44"/>
    <mergeCell ref="E44:G44"/>
    <mergeCell ref="I44:M44"/>
    <mergeCell ref="C47:D47"/>
    <mergeCell ref="E47:G47"/>
    <mergeCell ref="I47:M47"/>
    <mergeCell ref="C45:D45"/>
    <mergeCell ref="E45:G45"/>
    <mergeCell ref="I45:M45"/>
    <mergeCell ref="C46:D46"/>
    <mergeCell ref="E46:G46"/>
    <mergeCell ref="I46:M46"/>
    <mergeCell ref="C41:D41"/>
    <mergeCell ref="E41:G41"/>
    <mergeCell ref="I41:M41"/>
    <mergeCell ref="C39:D39"/>
    <mergeCell ref="E39:G39"/>
    <mergeCell ref="I39:M39"/>
    <mergeCell ref="C40:D40"/>
    <mergeCell ref="E40:G40"/>
    <mergeCell ref="I40:M40"/>
    <mergeCell ref="C7:E7"/>
    <mergeCell ref="E13:H13"/>
    <mergeCell ref="E14:H14"/>
    <mergeCell ref="E15:H15"/>
    <mergeCell ref="E16:H16"/>
    <mergeCell ref="E12:H12"/>
    <mergeCell ref="K8:L8"/>
    <mergeCell ref="E8:H9"/>
    <mergeCell ref="M38:N38"/>
    <mergeCell ref="D28:H28"/>
    <mergeCell ref="E23:H23"/>
    <mergeCell ref="E11:H11"/>
    <mergeCell ref="E19:H19"/>
    <mergeCell ref="E20:H20"/>
    <mergeCell ref="M8:N8"/>
    <mergeCell ref="E21:H21"/>
    <mergeCell ref="E22:H22"/>
    <mergeCell ref="E17:H17"/>
    <mergeCell ref="E24:H24"/>
    <mergeCell ref="E25:H25"/>
    <mergeCell ref="E26:H26"/>
    <mergeCell ref="E18:H18"/>
    <mergeCell ref="A1:N1"/>
    <mergeCell ref="C2:D2"/>
    <mergeCell ref="C3:D3"/>
    <mergeCell ref="C4:D4"/>
    <mergeCell ref="C5:D5"/>
    <mergeCell ref="C6:D6"/>
    <mergeCell ref="J6:K6"/>
    <mergeCell ref="A10:B10"/>
    <mergeCell ref="A8:A9"/>
    <mergeCell ref="B8:B9"/>
    <mergeCell ref="C8:D8"/>
    <mergeCell ref="I8:J8"/>
    <mergeCell ref="E10:H10"/>
  </mergeCells>
  <conditionalFormatting sqref="N40:N41">
    <cfRule type="cellIs" priority="5" dxfId="2" operator="equal" stopIfTrue="1">
      <formula>"žlutá karta"</formula>
    </cfRule>
    <cfRule type="cellIs" priority="6" dxfId="7" operator="equal" stopIfTrue="1">
      <formula>"diskvalifikace"</formula>
    </cfRule>
  </conditionalFormatting>
  <conditionalFormatting sqref="N45:N46">
    <cfRule type="cellIs" priority="3" dxfId="2" operator="equal" stopIfTrue="1">
      <formula>"žlutá karta"</formula>
    </cfRule>
    <cfRule type="cellIs" priority="4" dxfId="7" operator="equal" stopIfTrue="1">
      <formula>"diskvalifikace"</formula>
    </cfRule>
  </conditionalFormatting>
  <conditionalFormatting sqref="N47">
    <cfRule type="cellIs" priority="1" dxfId="2" operator="equal" stopIfTrue="1">
      <formula>"žlutá karta"</formula>
    </cfRule>
    <cfRule type="cellIs" priority="2" dxfId="7" operator="equal" stopIfTrue="1">
      <formula>"diskvalifikace"</formula>
    </cfRule>
  </conditionalFormatting>
  <dataValidations count="4">
    <dataValidation type="list" allowBlank="1" showInputMessage="1" showErrorMessage="1" sqref="N40">
      <formula1>"napomenutí,žlutá karta,diskvalifikace,+1,+5,max sektor +1"</formula1>
    </dataValidation>
    <dataValidation type="list" allowBlank="1" showInputMessage="1" showErrorMessage="1" sqref="C40:D41 C45:D47">
      <formula1>zavodnik1</formula1>
    </dataValidation>
    <dataValidation type="list" allowBlank="1" showInputMessage="1" showErrorMessage="1" sqref="N41 N47">
      <formula1>"napomenutí,žlutá karta,diskvalifikace,+1,+5"</formula1>
    </dataValidation>
    <dataValidation type="list" allowBlank="1" showInputMessage="1" showErrorMessage="1" sqref="N45:N46">
      <formula1>"napomenutí,žlutá karta,diskvalifikace,+1,+5,sektor+5"</formula1>
    </dataValidation>
  </dataValidation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6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view="pageBreakPreview" zoomScaleSheetLayoutView="100" zoomScalePageLayoutView="0" workbookViewId="0" topLeftCell="A103">
      <selection activeCell="F125" sqref="F125"/>
    </sheetView>
  </sheetViews>
  <sheetFormatPr defaultColWidth="9.00390625" defaultRowHeight="12.75" outlineLevelCol="1"/>
  <cols>
    <col min="1" max="1" width="9.00390625" style="109" customWidth="1"/>
    <col min="2" max="2" width="25.125" style="58" customWidth="1"/>
    <col min="3" max="3" width="7.375" style="57" customWidth="1"/>
    <col min="4" max="4" width="19.25390625" style="57" bestFit="1" customWidth="1"/>
    <col min="5" max="5" width="7.25390625" style="0" customWidth="1"/>
    <col min="6" max="6" width="5.00390625" style="0" bestFit="1" customWidth="1"/>
    <col min="7" max="7" width="7.00390625" style="0" customWidth="1"/>
    <col min="8" max="8" width="5.625" style="0" bestFit="1" customWidth="1"/>
    <col min="9" max="9" width="7.375" style="0" bestFit="1" customWidth="1"/>
    <col min="10" max="10" width="7.625" style="0" customWidth="1" outlineLevel="1"/>
    <col min="11" max="11" width="4.375" style="0" customWidth="1" outlineLevel="1"/>
    <col min="12" max="12" width="7.375" style="0" customWidth="1" outlineLevel="1"/>
    <col min="13" max="13" width="5.625" style="0" customWidth="1" outlineLevel="1"/>
    <col min="14" max="14" width="5.125" style="0" customWidth="1" outlineLevel="1"/>
    <col min="15" max="15" width="8.625" style="0" customWidth="1" outlineLevel="1"/>
    <col min="16" max="16" width="5.625" style="0" customWidth="1" outlineLevel="1"/>
    <col min="17" max="17" width="5.125" style="167" customWidth="1" outlineLevel="1"/>
    <col min="18" max="18" width="0.6171875" style="0" customWidth="1"/>
  </cols>
  <sheetData>
    <row r="1" spans="2:17" ht="21" thickBot="1">
      <c r="B1" s="338" t="s">
        <v>99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7" ht="7.5" customHeight="1" thickBot="1">
      <c r="A2" s="42"/>
      <c r="B2" s="59"/>
      <c r="C2" s="60"/>
      <c r="D2" s="6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65"/>
    </row>
    <row r="3" spans="1:17" ht="13.5" thickBot="1">
      <c r="A3" s="313" t="s">
        <v>365</v>
      </c>
      <c r="B3" s="339" t="s">
        <v>62</v>
      </c>
      <c r="C3" s="341" t="s">
        <v>83</v>
      </c>
      <c r="D3" s="343" t="s">
        <v>38</v>
      </c>
      <c r="E3" s="345" t="s">
        <v>40</v>
      </c>
      <c r="F3" s="346"/>
      <c r="G3" s="346"/>
      <c r="H3" s="346"/>
      <c r="I3" s="347"/>
      <c r="J3" s="345" t="s">
        <v>41</v>
      </c>
      <c r="K3" s="346"/>
      <c r="L3" s="346"/>
      <c r="M3" s="346"/>
      <c r="N3" s="347"/>
      <c r="O3" s="348" t="s">
        <v>61</v>
      </c>
      <c r="P3" s="348"/>
      <c r="Q3" s="349"/>
    </row>
    <row r="4" spans="1:17" ht="13.5" thickBot="1">
      <c r="A4" s="313"/>
      <c r="B4" s="340"/>
      <c r="C4" s="342"/>
      <c r="D4" s="344"/>
      <c r="E4" s="352" t="s">
        <v>60</v>
      </c>
      <c r="F4" s="353"/>
      <c r="G4" s="354" t="s">
        <v>61</v>
      </c>
      <c r="H4" s="355"/>
      <c r="I4" s="356"/>
      <c r="J4" s="352" t="s">
        <v>60</v>
      </c>
      <c r="K4" s="353"/>
      <c r="L4" s="354" t="s">
        <v>61</v>
      </c>
      <c r="M4" s="355"/>
      <c r="N4" s="356"/>
      <c r="O4" s="350"/>
      <c r="P4" s="350"/>
      <c r="Q4" s="351"/>
    </row>
    <row r="5" spans="1:17" ht="16.5" thickBot="1">
      <c r="A5" s="313"/>
      <c r="B5" s="340"/>
      <c r="C5" s="342"/>
      <c r="D5" s="344"/>
      <c r="E5" s="26" t="s">
        <v>4</v>
      </c>
      <c r="F5" s="23" t="s">
        <v>16</v>
      </c>
      <c r="G5" s="23" t="s">
        <v>4</v>
      </c>
      <c r="H5" s="23" t="s">
        <v>6</v>
      </c>
      <c r="I5" s="24" t="s">
        <v>5</v>
      </c>
      <c r="J5" s="26" t="s">
        <v>4</v>
      </c>
      <c r="K5" s="23" t="s">
        <v>16</v>
      </c>
      <c r="L5" s="23" t="s">
        <v>4</v>
      </c>
      <c r="M5" s="23" t="s">
        <v>6</v>
      </c>
      <c r="N5" s="24" t="s">
        <v>5</v>
      </c>
      <c r="O5" s="25" t="s">
        <v>4</v>
      </c>
      <c r="P5" s="23" t="s">
        <v>6</v>
      </c>
      <c r="Q5" s="166" t="s">
        <v>5</v>
      </c>
    </row>
    <row r="6" spans="1:18" ht="12.75" customHeight="1">
      <c r="A6" s="259">
        <f>SUM(Q6)</f>
        <v>19</v>
      </c>
      <c r="B6" s="262" t="s">
        <v>103</v>
      </c>
      <c r="C6" s="61">
        <v>7042</v>
      </c>
      <c r="D6" s="62" t="str">
        <f>IF(ISBLANK($C6),"",INDEX('Výsledková listina'!PRINT_AREA,MATCH($C6,'Výsledková listina'!$E:$E,0),2))</f>
        <v>Houžvíček Jan</v>
      </c>
      <c r="E6" s="36">
        <f>IF(ISBLANK($C6),"",INDEX('Výsledková listina'!PRINT_AREA,MATCH($C6,'Výsledková listina'!$E:$E,0),8))</f>
        <v>11960</v>
      </c>
      <c r="F6" s="37">
        <f>IF(ISBLANK($C6),"",INDEX('Výsledková listina'!PRINT_AREA,MATCH($C6,'Výsledková listina'!$E:$E,0),9))</f>
        <v>2</v>
      </c>
      <c r="G6" s="265">
        <f>SUM(E6:E8)</f>
        <v>24340</v>
      </c>
      <c r="H6" s="265">
        <f>SUM(F6:F8)</f>
        <v>21</v>
      </c>
      <c r="I6" s="268">
        <f>RANK(H6,H:H,1)</f>
        <v>17</v>
      </c>
      <c r="J6" s="36">
        <f>IF(ISBLANK($C6),"",INDEX('Výsledková listina'!PRINT_AREA,MATCH($C6,'Výsledková listina'!$E:$E,0),12))</f>
        <v>8120</v>
      </c>
      <c r="K6" s="37">
        <f>IF(ISBLANK($C6),"",INDEX('Výsledková listina'!PRINT_AREA,MATCH($C6,'Výsledková listina'!$E:$E,0),13))</f>
        <v>8</v>
      </c>
      <c r="L6" s="265">
        <f>IF(ISBLANK($B6),"",SUM(J6:J8))</f>
        <v>19640</v>
      </c>
      <c r="M6" s="265">
        <f>IF(ISBLANK($B6),"",SUM(K6:K8))</f>
        <v>20</v>
      </c>
      <c r="N6" s="268">
        <f>IF(ISBLANK($B6),"",RANK(M6,M:M,1))</f>
        <v>17</v>
      </c>
      <c r="O6" s="271">
        <f>IF(ISBLANK($B6),"",SUM(G6,L6))</f>
        <v>43980</v>
      </c>
      <c r="P6" s="253">
        <f>IF(ISBLANK($B6),"",SUM(H6,M6))</f>
        <v>41</v>
      </c>
      <c r="Q6" s="256">
        <v>19</v>
      </c>
      <c r="R6" s="241">
        <f>IF(P6="","",RANK(Q6,Q:Q,1))</f>
        <v>19</v>
      </c>
    </row>
    <row r="7" spans="1:18" ht="12.75" customHeight="1">
      <c r="A7" s="260"/>
      <c r="B7" s="263"/>
      <c r="C7" s="63">
        <v>127</v>
      </c>
      <c r="D7" s="64" t="str">
        <f>IF(ISBLANK($C7),"",INDEX('Výsledková listina'!PRINT_AREA,MATCH($C7,'Výsledková listina'!$E:$E,0),2))</f>
        <v>Bartoň Štěpán</v>
      </c>
      <c r="E7" s="38">
        <f>IF(ISBLANK($C7),"",INDEX('Výsledková listina'!PRINT_AREA,MATCH($C7,'Výsledková listina'!$E:$E,0),8))</f>
        <v>6510</v>
      </c>
      <c r="F7" s="39">
        <f>IF(ISBLANK($C7),"",INDEX('Výsledková listina'!PRINT_AREA,MATCH($C7,'Výsledková listina'!$E:$E,0),9))</f>
        <v>11</v>
      </c>
      <c r="G7" s="266"/>
      <c r="H7" s="266"/>
      <c r="I7" s="269"/>
      <c r="J7" s="38">
        <f>IF(ISBLANK($C7),"",INDEX('Výsledková listina'!PRINT_AREA,MATCH($C7,'Výsledková listina'!$E:$E,0),12))</f>
        <v>5060</v>
      </c>
      <c r="K7" s="39">
        <f>IF(ISBLANK($C7),"",INDEX('Výsledková listina'!PRINT_AREA,MATCH($C7,'Výsledková listina'!$E:$E,0),13))</f>
        <v>6</v>
      </c>
      <c r="L7" s="266"/>
      <c r="M7" s="266"/>
      <c r="N7" s="269"/>
      <c r="O7" s="272"/>
      <c r="P7" s="254"/>
      <c r="Q7" s="257"/>
      <c r="R7" s="242"/>
    </row>
    <row r="8" spans="1:18" ht="13.5" customHeight="1" thickBot="1">
      <c r="A8" s="261"/>
      <c r="B8" s="264"/>
      <c r="C8" s="65">
        <v>6927</v>
      </c>
      <c r="D8" s="66" t="str">
        <f>IF(ISBLANK($C8),"",INDEX('Výsledková listina'!PRINT_AREA,MATCH($C8,'Výsledková listina'!$E:$E,0),2))</f>
        <v>Stupka Jaroslav</v>
      </c>
      <c r="E8" s="43">
        <f>IF(ISBLANK($C8),"",INDEX('Výsledková listina'!PRINT_AREA,MATCH($C8,'Výsledková listina'!$E:$E,0),8))</f>
        <v>5870</v>
      </c>
      <c r="F8" s="44">
        <f>IF(ISBLANK($C8),"",INDEX('Výsledková listina'!PRINT_AREA,MATCH($C8,'Výsledková listina'!$E:$E,0),9))</f>
        <v>8</v>
      </c>
      <c r="G8" s="267"/>
      <c r="H8" s="267"/>
      <c r="I8" s="270"/>
      <c r="J8" s="43">
        <f>IF(ISBLANK($C8),"",INDEX('Výsledková listina'!PRINT_AREA,MATCH($C8,'Výsledková listina'!$E:$E,0),12))</f>
        <v>6460</v>
      </c>
      <c r="K8" s="44">
        <f>IF(ISBLANK($C8),"",INDEX('Výsledková listina'!PRINT_AREA,MATCH($C8,'Výsledková listina'!$E:$E,0),13))</f>
        <v>6</v>
      </c>
      <c r="L8" s="267"/>
      <c r="M8" s="267"/>
      <c r="N8" s="270"/>
      <c r="O8" s="273"/>
      <c r="P8" s="255"/>
      <c r="Q8" s="258"/>
      <c r="R8" s="243"/>
    </row>
    <row r="9" spans="1:18" ht="12.75" customHeight="1">
      <c r="A9" s="259">
        <f>SUM(Q9)</f>
        <v>28</v>
      </c>
      <c r="B9" s="262" t="s">
        <v>107</v>
      </c>
      <c r="C9" s="61">
        <v>1923</v>
      </c>
      <c r="D9" s="62" t="str">
        <f>IF(ISBLANK($C9),"",INDEX('Výsledková listina'!PRINT_AREA,MATCH($C9,'Výsledková listina'!$E:$E,0),2))</f>
        <v>Kolařík David ing.</v>
      </c>
      <c r="E9" s="36">
        <f>IF(ISBLANK($C9),"",INDEX('Výsledková listina'!PRINT_AREA,MATCH($C9,'Výsledková listina'!$E:$E,0),8))</f>
        <v>10330</v>
      </c>
      <c r="F9" s="37">
        <f>IF(ISBLANK($C9),"",INDEX('Výsledková listina'!PRINT_AREA,MATCH($C9,'Výsledková listina'!$E:$E,0),9))</f>
        <v>8</v>
      </c>
      <c r="G9" s="265">
        <f>SUM(E9:E11)</f>
        <v>22200</v>
      </c>
      <c r="H9" s="265">
        <f>SUM(F9:F11)</f>
        <v>32</v>
      </c>
      <c r="I9" s="268">
        <f>RANK(H9,H:H,1)</f>
        <v>32</v>
      </c>
      <c r="J9" s="36">
        <f>IF(ISBLANK($C9),"",INDEX('Výsledková listina'!PRINT_AREA,MATCH($C9,'Výsledková listina'!$E:$E,0),12))</f>
        <v>12320</v>
      </c>
      <c r="K9" s="37">
        <f>IF(ISBLANK($C9),"",INDEX('Výsledková listina'!PRINT_AREA,MATCH($C9,'Výsledková listina'!$E:$E,0),13))</f>
        <v>4</v>
      </c>
      <c r="L9" s="265">
        <f>IF(ISBLANK($B9),"",SUM(J9:J11))</f>
        <v>29130</v>
      </c>
      <c r="M9" s="265">
        <f>IF(ISBLANK($B9),"",SUM(K9:K11))</f>
        <v>24</v>
      </c>
      <c r="N9" s="268">
        <f>IF(ISBLANK($B9),"",RANK(M9,M:M,1))</f>
        <v>23</v>
      </c>
      <c r="O9" s="271">
        <f>IF(ISBLANK($B9),"",SUM(G9,L9))</f>
        <v>51330</v>
      </c>
      <c r="P9" s="253">
        <f>IF(ISBLANK($B9),"",SUM(H9,M9))</f>
        <v>56</v>
      </c>
      <c r="Q9" s="256">
        <f>IF(O9="","",RANK(P9,P:P,1))</f>
        <v>28</v>
      </c>
      <c r="R9" s="241">
        <f>IF(P9="","",RANK(Q9,Q:Q,1))</f>
        <v>28</v>
      </c>
    </row>
    <row r="10" spans="1:18" ht="12.75" customHeight="1">
      <c r="A10" s="260"/>
      <c r="B10" s="263"/>
      <c r="C10" s="63">
        <v>814</v>
      </c>
      <c r="D10" s="64" t="str">
        <f>IF(ISBLANK($C10),"",INDEX('Výsledková listina'!PRINT_AREA,MATCH($C10,'Výsledková listina'!$E:$E,0),2))</f>
        <v>Procházka Matyáš</v>
      </c>
      <c r="E10" s="38">
        <f>IF(ISBLANK($C10),"",INDEX('Výsledková listina'!PRINT_AREA,MATCH($C10,'Výsledková listina'!$E:$E,0),8))</f>
        <v>7210</v>
      </c>
      <c r="F10" s="39">
        <f>IF(ISBLANK($C10),"",INDEX('Výsledková listina'!PRINT_AREA,MATCH($C10,'Výsledková listina'!$E:$E,0),9))</f>
        <v>12</v>
      </c>
      <c r="G10" s="266"/>
      <c r="H10" s="266"/>
      <c r="I10" s="269"/>
      <c r="J10" s="38">
        <f>IF(ISBLANK($C10),"",INDEX('Výsledková listina'!PRINT_AREA,MATCH($C10,'Výsledková listina'!$E:$E,0),12))</f>
        <v>8350</v>
      </c>
      <c r="K10" s="39">
        <f>IF(ISBLANK($C10),"",INDEX('Výsledková listina'!PRINT_AREA,MATCH($C10,'Výsledková listina'!$E:$E,0),13))</f>
        <v>8</v>
      </c>
      <c r="L10" s="266"/>
      <c r="M10" s="266"/>
      <c r="N10" s="269"/>
      <c r="O10" s="272"/>
      <c r="P10" s="254"/>
      <c r="Q10" s="257"/>
      <c r="R10" s="242"/>
    </row>
    <row r="11" spans="1:18" ht="13.5" customHeight="1" thickBot="1">
      <c r="A11" s="261"/>
      <c r="B11" s="264"/>
      <c r="C11" s="65">
        <v>813</v>
      </c>
      <c r="D11" s="66" t="str">
        <f>IF(ISBLANK($C11),"",INDEX('Výsledková listina'!PRINT_AREA,MATCH($C11,'Výsledková listina'!$E:$E,0),2))</f>
        <v>Procházka Martin</v>
      </c>
      <c r="E11" s="43">
        <f>IF(ISBLANK($C11),"",INDEX('Výsledková listina'!PRINT_AREA,MATCH($C11,'Výsledková listina'!$E:$E,0),8))</f>
        <v>4660</v>
      </c>
      <c r="F11" s="44">
        <f>IF(ISBLANK($C11),"",INDEX('Výsledková listina'!PRINT_AREA,MATCH($C11,'Výsledková listina'!$E:$E,0),9))</f>
        <v>12</v>
      </c>
      <c r="G11" s="267"/>
      <c r="H11" s="267"/>
      <c r="I11" s="270"/>
      <c r="J11" s="43">
        <f>IF(ISBLANK($C11),"",INDEX('Výsledková listina'!PRINT_AREA,MATCH($C11,'Výsledková listina'!$E:$E,0),12))</f>
        <v>8460</v>
      </c>
      <c r="K11" s="44">
        <f>IF(ISBLANK($C11),"",INDEX('Výsledková listina'!PRINT_AREA,MATCH($C11,'Výsledková listina'!$E:$E,0),13))</f>
        <v>12</v>
      </c>
      <c r="L11" s="267"/>
      <c r="M11" s="267"/>
      <c r="N11" s="270"/>
      <c r="O11" s="273"/>
      <c r="P11" s="255"/>
      <c r="Q11" s="258"/>
      <c r="R11" s="243"/>
    </row>
    <row r="12" spans="1:18" ht="12.75" customHeight="1" thickBot="1">
      <c r="A12" s="259">
        <f>SUM(Q12)</f>
        <v>35</v>
      </c>
      <c r="B12" s="262" t="s">
        <v>111</v>
      </c>
      <c r="C12" s="67">
        <v>6411</v>
      </c>
      <c r="D12" s="62" t="str">
        <f>IF(ISBLANK($C12),"",INDEX('Výsledková listina'!PRINT_AREA,MATCH($C12,'Výsledková listina'!$E:$E,0),2))</f>
        <v>Pechalová Andrea</v>
      </c>
      <c r="E12" s="36">
        <f>IF(ISBLANK($C12),"",INDEX('Výsledková listina'!PRINT_AREA,MATCH($C12,'Výsledková listina'!$E:$E,0),8))</f>
        <v>8140</v>
      </c>
      <c r="F12" s="37">
        <f>IF(ISBLANK($C12),"",INDEX('Výsledková listina'!PRINT_AREA,MATCH($C12,'Výsledková listina'!$E:$E,0),9))</f>
        <v>7</v>
      </c>
      <c r="G12" s="265">
        <f>SUM(E12:E14)</f>
        <v>21063</v>
      </c>
      <c r="H12" s="265">
        <f>SUM(F12:F14)</f>
        <v>27</v>
      </c>
      <c r="I12" s="268">
        <f>RANK(H12,H:H,1)</f>
        <v>25</v>
      </c>
      <c r="J12" s="43">
        <f>IF(ISBLANK($C12),"",INDEX('Výsledková listina'!PRINT_AREA,MATCH($C12,'Výsledková listina'!$E:$E,0),12))</f>
        <v>1400</v>
      </c>
      <c r="K12" s="37">
        <f>IF(ISBLANK($C12),"",INDEX('Výsledková listina'!PRINT_AREA,MATCH($C12,'Výsledková listina'!$E:$E,0),13))</f>
        <v>13</v>
      </c>
      <c r="L12" s="265">
        <f>IF(ISBLANK($B12),"",SUM(J12:J14))</f>
        <v>16880</v>
      </c>
      <c r="M12" s="265">
        <f>IF(ISBLANK($B12),"",SUM(K12:K14))</f>
        <v>36</v>
      </c>
      <c r="N12" s="268">
        <f>IF(ISBLANK($B12),"",RANK(M12,M:M,1))</f>
        <v>36</v>
      </c>
      <c r="O12" s="271">
        <f>IF(ISBLANK($B12),"",SUM(G12,L12))</f>
        <v>37943</v>
      </c>
      <c r="P12" s="253">
        <f>IF(ISBLANK($B12),"",SUM(H12,M12))</f>
        <v>63</v>
      </c>
      <c r="Q12" s="256">
        <f>IF(O12="","",RANK(P12,P:P,1))</f>
        <v>35</v>
      </c>
      <c r="R12" s="241">
        <f>IF(P12="","",RANK(Q12,Q:Q,1))</f>
        <v>35</v>
      </c>
    </row>
    <row r="13" spans="1:18" ht="12.75" customHeight="1" thickBot="1">
      <c r="A13" s="260"/>
      <c r="B13" s="263"/>
      <c r="C13" s="68">
        <v>3813</v>
      </c>
      <c r="D13" s="64" t="str">
        <f>IF(ISBLANK($C13),"",INDEX('Výsledková listina'!PRINT_AREA,MATCH($C13,'Výsledková listina'!$E:$E,0),2))</f>
        <v>Pagáč Pavel</v>
      </c>
      <c r="E13" s="38">
        <f>IF(ISBLANK($C13),"",INDEX('Výsledková listina'!PRINT_AREA,MATCH($C13,'Výsledková listina'!$E:$E,0),8))</f>
        <v>2943</v>
      </c>
      <c r="F13" s="39">
        <f>IF(ISBLANK($C13),"",INDEX('Výsledková listina'!PRINT_AREA,MATCH($C13,'Výsledková listina'!$E:$E,0),9))</f>
        <v>11</v>
      </c>
      <c r="G13" s="266"/>
      <c r="H13" s="266"/>
      <c r="I13" s="269"/>
      <c r="J13" s="43">
        <f>IF(ISBLANK($C13),"",INDEX('Výsledková listina'!PRINT_AREA,MATCH($C13,'Výsledková listina'!$E:$E,0),12))</f>
        <v>8290</v>
      </c>
      <c r="K13" s="39">
        <f>IF(ISBLANK($C13),"",INDEX('Výsledková listina'!PRINT_AREA,MATCH($C13,'Výsledková listina'!$E:$E,0),13))</f>
        <v>10</v>
      </c>
      <c r="L13" s="266"/>
      <c r="M13" s="266"/>
      <c r="N13" s="269"/>
      <c r="O13" s="272"/>
      <c r="P13" s="254"/>
      <c r="Q13" s="257"/>
      <c r="R13" s="242"/>
    </row>
    <row r="14" spans="1:18" ht="13.5" customHeight="1" thickBot="1">
      <c r="A14" s="261"/>
      <c r="B14" s="264"/>
      <c r="C14" s="69">
        <v>3902</v>
      </c>
      <c r="D14" s="70" t="str">
        <f>IF(ISBLANK($C14),"",INDEX('Výsledková listina'!PRINT_AREA,MATCH($C14,'Výsledková listina'!$E:$E,0),2))</f>
        <v>Kejnar Zdeněk</v>
      </c>
      <c r="E14" s="40">
        <f>IF(ISBLANK($C14),"",INDEX('Výsledková listina'!PRINT_AREA,MATCH($C14,'Výsledková listina'!$E:$E,0),8))</f>
        <v>9980</v>
      </c>
      <c r="F14" s="41">
        <f>IF(ISBLANK($C14),"",INDEX('Výsledková listina'!PRINT_AREA,MATCH($C14,'Výsledková listina'!$E:$E,0),9))</f>
        <v>9</v>
      </c>
      <c r="G14" s="267"/>
      <c r="H14" s="267"/>
      <c r="I14" s="270"/>
      <c r="J14" s="43">
        <f>IF(ISBLANK($C14),"",INDEX('Výsledková listina'!PRINT_AREA,MATCH($C14,'Výsledková listina'!$E:$E,0),12))</f>
        <v>7190</v>
      </c>
      <c r="K14" s="41">
        <f>IF(ISBLANK($C14),"",INDEX('Výsledková listina'!PRINT_AREA,MATCH($C14,'Výsledková listina'!$E:$E,0),13))</f>
        <v>13</v>
      </c>
      <c r="L14" s="267"/>
      <c r="M14" s="267"/>
      <c r="N14" s="270"/>
      <c r="O14" s="273"/>
      <c r="P14" s="255"/>
      <c r="Q14" s="258"/>
      <c r="R14" s="243"/>
    </row>
    <row r="15" spans="1:18" ht="12.75" customHeight="1" thickBot="1">
      <c r="A15" s="259">
        <f>SUM(Q15)</f>
        <v>16</v>
      </c>
      <c r="B15" s="262" t="s">
        <v>122</v>
      </c>
      <c r="C15" s="61">
        <v>3834</v>
      </c>
      <c r="D15" s="62" t="str">
        <f>IF(ISBLANK($C15),"",INDEX('Výsledková listina'!PRINT_AREA,MATCH($C15,'Výsledková listina'!$E:$E,0),2))</f>
        <v>Koucký Miloslav</v>
      </c>
      <c r="E15" s="36">
        <f>IF(ISBLANK($C15),"",INDEX('Výsledková listina'!PRINT_AREA,MATCH($C15,'Výsledková listina'!$E:$E,0),8))</f>
        <v>13585</v>
      </c>
      <c r="F15" s="37">
        <f>IF(ISBLANK($C15),"",INDEX('Výsledková listina'!PRINT_AREA,MATCH($C15,'Výsledková listina'!$E:$E,0),9))</f>
        <v>1</v>
      </c>
      <c r="G15" s="265">
        <f>SUM(E15:E17)</f>
        <v>37415</v>
      </c>
      <c r="H15" s="265">
        <f>SUM(F15:F17)</f>
        <v>10</v>
      </c>
      <c r="I15" s="268">
        <f>RANK(H15,H:H,1)</f>
        <v>3</v>
      </c>
      <c r="J15" s="43">
        <f>IF(ISBLANK($C15),"",INDEX('Výsledková listina'!PRINT_AREA,MATCH($C15,'Výsledková listina'!$E:$E,0),12))</f>
        <v>1660</v>
      </c>
      <c r="K15" s="37">
        <f>IF(ISBLANK($C15),"",INDEX('Výsledková listina'!PRINT_AREA,MATCH($C15,'Výsledková listina'!$E:$E,0),13))</f>
        <v>12</v>
      </c>
      <c r="L15" s="265">
        <f>IF(ISBLANK($B15),"",SUM(J15:J17))</f>
        <v>21060</v>
      </c>
      <c r="M15" s="265">
        <f>IF(ISBLANK($B15),"",SUM(K15:K17))</f>
        <v>26</v>
      </c>
      <c r="N15" s="268">
        <f>IF(ISBLANK($B15),"",RANK(M15,M:M,1))</f>
        <v>25</v>
      </c>
      <c r="O15" s="271">
        <f>IF(ISBLANK($B15),"",SUM(G15,L15))</f>
        <v>58475</v>
      </c>
      <c r="P15" s="253">
        <f>IF(ISBLANK($B15),"",SUM(H15,M15))</f>
        <v>36</v>
      </c>
      <c r="Q15" s="256">
        <v>16</v>
      </c>
      <c r="R15" s="241">
        <f>IF(P15="","",RANK(Q15,Q:Q,1))</f>
        <v>16</v>
      </c>
    </row>
    <row r="16" spans="1:18" ht="12.75" customHeight="1" thickBot="1">
      <c r="A16" s="260"/>
      <c r="B16" s="263"/>
      <c r="C16" s="63">
        <v>4332</v>
      </c>
      <c r="D16" s="64" t="str">
        <f>IF(ISBLANK($C16),"",INDEX('Výsledková listina'!PRINT_AREA,MATCH($C16,'Výsledková listina'!$E:$E,0),2))</f>
        <v>Stárek Jan</v>
      </c>
      <c r="E16" s="38">
        <f>IF(ISBLANK($C16),"",INDEX('Výsledková listina'!PRINT_AREA,MATCH($C16,'Výsledková listina'!$E:$E,0),8))</f>
        <v>8850</v>
      </c>
      <c r="F16" s="39">
        <f>IF(ISBLANK($C16),"",INDEX('Výsledková listina'!PRINT_AREA,MATCH($C16,'Výsledková listina'!$E:$E,0),9))</f>
        <v>6</v>
      </c>
      <c r="G16" s="266"/>
      <c r="H16" s="266"/>
      <c r="I16" s="269"/>
      <c r="J16" s="43">
        <f>IF(ISBLANK($C16),"",INDEX('Výsledková listina'!PRINT_AREA,MATCH($C16,'Výsledková listina'!$E:$E,0),12))</f>
        <v>4100</v>
      </c>
      <c r="K16" s="39">
        <f>IF(ISBLANK($C16),"",INDEX('Výsledková listina'!PRINT_AREA,MATCH($C16,'Výsledková listina'!$E:$E,0),13))</f>
        <v>11</v>
      </c>
      <c r="L16" s="266"/>
      <c r="M16" s="266"/>
      <c r="N16" s="269"/>
      <c r="O16" s="272"/>
      <c r="P16" s="254"/>
      <c r="Q16" s="257"/>
      <c r="R16" s="242"/>
    </row>
    <row r="17" spans="1:18" ht="13.5" customHeight="1" thickBot="1">
      <c r="A17" s="261"/>
      <c r="B17" s="264"/>
      <c r="C17" s="71">
        <v>5382</v>
      </c>
      <c r="D17" s="70" t="str">
        <f>IF(ISBLANK($C17),"",INDEX('Výsledková listina'!PRINT_AREA,MATCH($C17,'Výsledková listina'!$E:$E,0),2))</f>
        <v>Tomšík Jan</v>
      </c>
      <c r="E17" s="40">
        <f>IF(ISBLANK($C17),"",INDEX('Výsledková listina'!PRINT_AREA,MATCH($C17,'Výsledková listina'!$E:$E,0),8))</f>
        <v>14980</v>
      </c>
      <c r="F17" s="41">
        <f>IF(ISBLANK($C17),"",INDEX('Výsledková listina'!PRINT_AREA,MATCH($C17,'Výsledková listina'!$E:$E,0),9))</f>
        <v>3</v>
      </c>
      <c r="G17" s="267"/>
      <c r="H17" s="267"/>
      <c r="I17" s="270"/>
      <c r="J17" s="43">
        <f>IF(ISBLANK($C17),"",INDEX('Výsledková listina'!PRINT_AREA,MATCH($C17,'Výsledková listina'!$E:$E,0),12))</f>
        <v>15300</v>
      </c>
      <c r="K17" s="41">
        <f>IF(ISBLANK($C17),"",INDEX('Výsledková listina'!PRINT_AREA,MATCH($C17,'Výsledková listina'!$E:$E,0),13))</f>
        <v>3</v>
      </c>
      <c r="L17" s="267"/>
      <c r="M17" s="267"/>
      <c r="N17" s="270"/>
      <c r="O17" s="273"/>
      <c r="P17" s="255"/>
      <c r="Q17" s="258"/>
      <c r="R17" s="243"/>
    </row>
    <row r="18" spans="1:18" ht="12.75" customHeight="1" thickBot="1">
      <c r="A18" s="259">
        <f>SUM(Q18)</f>
        <v>43</v>
      </c>
      <c r="B18" s="262" t="s">
        <v>140</v>
      </c>
      <c r="C18" s="61">
        <v>4334</v>
      </c>
      <c r="D18" s="62" t="str">
        <f>IF(ISBLANK($C18),"",INDEX('Výsledková listina'!PRINT_AREA,MATCH($C18,'Výsledková listina'!$E:$E,0),2))</f>
        <v>Špitálský Václav</v>
      </c>
      <c r="E18" s="36">
        <f>IF(ISBLANK($C18),"",INDEX('Výsledková listina'!PRINT_AREA,MATCH($C18,'Výsledková listina'!$E:$E,0),8))</f>
        <v>1130</v>
      </c>
      <c r="F18" s="37">
        <f>IF(ISBLANK($C18),"",INDEX('Výsledková listina'!PRINT_AREA,MATCH($C18,'Výsledková listina'!$E:$E,0),9))</f>
        <v>15</v>
      </c>
      <c r="G18" s="265">
        <f>SUM(E18:E20)</f>
        <v>8815</v>
      </c>
      <c r="H18" s="265">
        <f>SUM(F18:F20)</f>
        <v>42</v>
      </c>
      <c r="I18" s="268">
        <f>RANK(H18,H:H,1)</f>
        <v>43</v>
      </c>
      <c r="J18" s="43">
        <f>IF(ISBLANK($C18),"",INDEX('Výsledková listina'!PRINT_AREA,MATCH($C18,'Výsledková listina'!$E:$E,0),12))</f>
        <v>5670</v>
      </c>
      <c r="K18" s="37">
        <f>IF(ISBLANK($C18),"",INDEX('Výsledková listina'!PRINT_AREA,MATCH($C18,'Výsledková listina'!$E:$E,0),13))</f>
        <v>14</v>
      </c>
      <c r="L18" s="265">
        <f>IF(ISBLANK($B18),"",SUM(J18:J20))</f>
        <v>5780</v>
      </c>
      <c r="M18" s="265">
        <f>IF(ISBLANK($B18),"",SUM(K18:K20))</f>
        <v>45</v>
      </c>
      <c r="N18" s="268">
        <f>IF(ISBLANK($B18),"",RANK(M18,M:M,1))</f>
        <v>43</v>
      </c>
      <c r="O18" s="271">
        <f>IF(ISBLANK($B18),"",SUM(G18,L18))</f>
        <v>14595</v>
      </c>
      <c r="P18" s="253">
        <f>IF(ISBLANK($B18),"",SUM(H18,M18))</f>
        <v>87</v>
      </c>
      <c r="Q18" s="256">
        <f>IF(O18="","",RANK(P18,P:P,1))</f>
        <v>43</v>
      </c>
      <c r="R18" s="241">
        <f>IF(P18="","",RANK(Q18,Q:Q,1))</f>
        <v>43</v>
      </c>
    </row>
    <row r="19" spans="1:18" ht="12.75" customHeight="1" thickBot="1">
      <c r="A19" s="260"/>
      <c r="B19" s="263"/>
      <c r="C19" s="63">
        <v>4014</v>
      </c>
      <c r="D19" s="64" t="str">
        <f>IF(ISBLANK($C19),"",INDEX('Výsledková listina'!PRINT_AREA,MATCH($C19,'Výsledková listina'!$E:$E,0),2))</f>
        <v>Špitálský Václav ml.</v>
      </c>
      <c r="E19" s="38">
        <f>IF(ISBLANK($C19),"",INDEX('Výsledková listina'!PRINT_AREA,MATCH($C19,'Výsledková listina'!$E:$E,0),8))</f>
        <v>685</v>
      </c>
      <c r="F19" s="39">
        <f>IF(ISBLANK($C19),"",INDEX('Výsledková listina'!PRINT_AREA,MATCH($C19,'Výsledková listina'!$E:$E,0),9))</f>
        <v>15</v>
      </c>
      <c r="G19" s="266"/>
      <c r="H19" s="266"/>
      <c r="I19" s="269"/>
      <c r="J19" s="43">
        <f>IF(ISBLANK($C19),"",INDEX('Výsledková listina'!PRINT_AREA,MATCH($C19,'Výsledková listina'!$E:$E,0),12))</f>
        <v>10</v>
      </c>
      <c r="K19" s="39">
        <f>IF(ISBLANK($C19),"",INDEX('Výsledková listina'!PRINT_AREA,MATCH($C19,'Výsledková listina'!$E:$E,0),13))</f>
        <v>15</v>
      </c>
      <c r="L19" s="266"/>
      <c r="M19" s="266"/>
      <c r="N19" s="269"/>
      <c r="O19" s="272"/>
      <c r="P19" s="254"/>
      <c r="Q19" s="257"/>
      <c r="R19" s="242"/>
    </row>
    <row r="20" spans="1:18" ht="13.5" customHeight="1" thickBot="1">
      <c r="A20" s="261"/>
      <c r="B20" s="264"/>
      <c r="C20" s="65">
        <v>2909</v>
      </c>
      <c r="D20" s="66" t="str">
        <f>IF(ISBLANK($C20),"",INDEX('Výsledková listina'!PRINT_AREA,MATCH($C20,'Výsledková listina'!$E:$E,0),2))</f>
        <v>Pluchta Petr</v>
      </c>
      <c r="E20" s="43">
        <f>IF(ISBLANK($C20),"",INDEX('Výsledková listina'!PRINT_AREA,MATCH($C20,'Výsledková listina'!$E:$E,0),8))</f>
        <v>7000</v>
      </c>
      <c r="F20" s="44">
        <f>IF(ISBLANK($C20),"",INDEX('Výsledková listina'!PRINT_AREA,MATCH($C20,'Výsledková listina'!$E:$E,0),9))</f>
        <v>12</v>
      </c>
      <c r="G20" s="267"/>
      <c r="H20" s="267"/>
      <c r="I20" s="270"/>
      <c r="J20" s="43">
        <f>IF(ISBLANK($C20),"",INDEX('Výsledková listina'!PRINT_AREA,MATCH($C20,'Výsledková listina'!$E:$E,0),12))</f>
        <v>100</v>
      </c>
      <c r="K20" s="44">
        <f>IF(ISBLANK($C20),"",INDEX('Výsledková listina'!PRINT_AREA,MATCH($C20,'Výsledková listina'!$E:$E,0),13))</f>
        <v>16</v>
      </c>
      <c r="L20" s="267"/>
      <c r="M20" s="267"/>
      <c r="N20" s="270"/>
      <c r="O20" s="273"/>
      <c r="P20" s="255"/>
      <c r="Q20" s="258"/>
      <c r="R20" s="243"/>
    </row>
    <row r="21" spans="1:18" ht="12.75" customHeight="1" thickBot="1">
      <c r="A21" s="259">
        <f>SUM(Q21)</f>
        <v>8</v>
      </c>
      <c r="B21" s="262" t="s">
        <v>141</v>
      </c>
      <c r="C21" s="61">
        <v>6774</v>
      </c>
      <c r="D21" s="62" t="str">
        <f>IF(ISBLANK($C21),"",INDEX('Výsledková listina'!PRINT_AREA,MATCH($C21,'Výsledková listina'!$E:$E,0),2))</f>
        <v>Křivánek Miroslav</v>
      </c>
      <c r="E21" s="36">
        <f>IF(ISBLANK($C21),"",INDEX('Výsledková listina'!PRINT_AREA,MATCH($C21,'Výsledková listina'!$E:$E,0),8))</f>
        <v>4870</v>
      </c>
      <c r="F21" s="37">
        <f>IF(ISBLANK($C21),"",INDEX('Výsledková listina'!PRINT_AREA,MATCH($C21,'Výsledková listina'!$E:$E,0),9))</f>
        <v>13</v>
      </c>
      <c r="G21" s="265">
        <f>SUM(E21:E23)</f>
        <v>33930</v>
      </c>
      <c r="H21" s="265">
        <f>SUM(F21:F23)</f>
        <v>21</v>
      </c>
      <c r="I21" s="268">
        <f>RANK(H21,H:H,1)</f>
        <v>17</v>
      </c>
      <c r="J21" s="43">
        <f>IF(ISBLANK($C21),"",INDEX('Výsledková listina'!PRINT_AREA,MATCH($C21,'Výsledková listina'!$E:$E,0),12))</f>
        <v>11760</v>
      </c>
      <c r="K21" s="37">
        <f>IF(ISBLANK($C21),"",INDEX('Výsledková listina'!PRINT_AREA,MATCH($C21,'Výsledková listina'!$E:$E,0),13))</f>
        <v>5</v>
      </c>
      <c r="L21" s="265">
        <f>IF(ISBLANK($B21),"",SUM(J21:J23))</f>
        <v>39750</v>
      </c>
      <c r="M21" s="265">
        <f>IF(ISBLANK($B21),"",SUM(K21:K23))</f>
        <v>11</v>
      </c>
      <c r="N21" s="268">
        <f>IF(ISBLANK($B21),"",RANK(M21,M:M,1))</f>
        <v>4</v>
      </c>
      <c r="O21" s="271">
        <f>IF(ISBLANK($B21),"",SUM(G21,L21))</f>
        <v>73680</v>
      </c>
      <c r="P21" s="253">
        <f>IF(ISBLANK($B21),"",SUM(H21,M21))</f>
        <v>32</v>
      </c>
      <c r="Q21" s="256">
        <f>IF(O21="","",RANK(P21,P:P,1))</f>
        <v>8</v>
      </c>
      <c r="R21" s="241">
        <f>IF(P21="","",RANK(Q21,Q:Q,1))</f>
        <v>8</v>
      </c>
    </row>
    <row r="22" spans="1:18" ht="12.75" customHeight="1" thickBot="1">
      <c r="A22" s="260"/>
      <c r="B22" s="263"/>
      <c r="C22" s="63">
        <v>2612</v>
      </c>
      <c r="D22" s="64" t="str">
        <f>IF(ISBLANK($C22),"",INDEX('Výsledková listina'!PRINT_AREA,MATCH($C22,'Výsledková listina'!$E:$E,0),2))</f>
        <v>Halíř Lukáš</v>
      </c>
      <c r="E22" s="38">
        <f>IF(ISBLANK($C22),"",INDEX('Výsledková listina'!PRINT_AREA,MATCH($C22,'Výsledková listina'!$E:$E,0),8))</f>
        <v>17310</v>
      </c>
      <c r="F22" s="39">
        <f>IF(ISBLANK($C22),"",INDEX('Výsledková listina'!PRINT_AREA,MATCH($C22,'Výsledková listina'!$E:$E,0),9))</f>
        <v>4</v>
      </c>
      <c r="G22" s="266"/>
      <c r="H22" s="266"/>
      <c r="I22" s="269"/>
      <c r="J22" s="43">
        <f>IF(ISBLANK($C22),"",INDEX('Výsledková listina'!PRINT_AREA,MATCH($C22,'Výsledková listina'!$E:$E,0),12))</f>
        <v>16470</v>
      </c>
      <c r="K22" s="39">
        <f>IF(ISBLANK($C22),"",INDEX('Výsledková listina'!PRINT_AREA,MATCH($C22,'Výsledková listina'!$E:$E,0),13))</f>
        <v>2</v>
      </c>
      <c r="L22" s="266"/>
      <c r="M22" s="266"/>
      <c r="N22" s="269"/>
      <c r="O22" s="272"/>
      <c r="P22" s="254"/>
      <c r="Q22" s="257"/>
      <c r="R22" s="242"/>
    </row>
    <row r="23" spans="1:18" ht="13.5" customHeight="1" thickBot="1">
      <c r="A23" s="261"/>
      <c r="B23" s="264"/>
      <c r="C23" s="71">
        <v>7047</v>
      </c>
      <c r="D23" s="70" t="str">
        <f>IF(ISBLANK($C23),"",INDEX('Výsledková listina'!PRINT_AREA,MATCH($C23,'Výsledková listina'!$E:$E,0),2))</f>
        <v>Čtverák Jaroslav</v>
      </c>
      <c r="E23" s="40">
        <f>IF(ISBLANK($C23),"",INDEX('Výsledková listina'!PRINT_AREA,MATCH($C23,'Výsledková listina'!$E:$E,0),8))</f>
        <v>11750</v>
      </c>
      <c r="F23" s="41">
        <f>IF(ISBLANK($C23),"",INDEX('Výsledková listina'!PRINT_AREA,MATCH($C23,'Výsledková listina'!$E:$E,0),9))</f>
        <v>4</v>
      </c>
      <c r="G23" s="267"/>
      <c r="H23" s="267"/>
      <c r="I23" s="270"/>
      <c r="J23" s="43">
        <f>IF(ISBLANK($C23),"",INDEX('Výsledková listina'!PRINT_AREA,MATCH($C23,'Výsledková listina'!$E:$E,0),12))</f>
        <v>11520</v>
      </c>
      <c r="K23" s="41">
        <f>IF(ISBLANK($C23),"",INDEX('Výsledková listina'!PRINT_AREA,MATCH($C23,'Výsledková listina'!$E:$E,0),13))</f>
        <v>4</v>
      </c>
      <c r="L23" s="267"/>
      <c r="M23" s="267"/>
      <c r="N23" s="270"/>
      <c r="O23" s="273"/>
      <c r="P23" s="255"/>
      <c r="Q23" s="258"/>
      <c r="R23" s="243"/>
    </row>
    <row r="24" spans="1:18" ht="12.75" customHeight="1" thickBot="1">
      <c r="A24" s="259">
        <f>SUM(Q24)</f>
        <v>11</v>
      </c>
      <c r="B24" s="262" t="s">
        <v>339</v>
      </c>
      <c r="C24" s="61">
        <v>4103</v>
      </c>
      <c r="D24" s="62" t="str">
        <f>IF(ISBLANK($C24),"",INDEX('Výsledková listina'!PRINT_AREA,MATCH($C24,'Výsledková listina'!$E:$E,0),2))</f>
        <v>Vydra Filip</v>
      </c>
      <c r="E24" s="36">
        <f>IF(ISBLANK($C24),"",INDEX('Výsledková listina'!PRINT_AREA,MATCH($C24,'Výsledková listina'!$E:$E,0),8))</f>
        <v>23410</v>
      </c>
      <c r="F24" s="37">
        <f>IF(ISBLANK($C24),"",INDEX('Výsledková listina'!PRINT_AREA,MATCH($C24,'Výsledková listina'!$E:$E,0),9))</f>
        <v>1</v>
      </c>
      <c r="G24" s="265">
        <f>SUM(E24:E26)</f>
        <v>40240</v>
      </c>
      <c r="H24" s="265">
        <f>SUM(F24:F26)</f>
        <v>14</v>
      </c>
      <c r="I24" s="268">
        <f>RANK(H24,H:H,1)</f>
        <v>8</v>
      </c>
      <c r="J24" s="43">
        <f>IF(ISBLANK($C24),"",INDEX('Výsledková listina'!PRINT_AREA,MATCH($C24,'Výsledková listina'!$E:$E,0),12))</f>
        <v>11820</v>
      </c>
      <c r="K24" s="37">
        <f>IF(ISBLANK($C24),"",INDEX('Výsledková listina'!PRINT_AREA,MATCH($C24,'Výsledková listina'!$E:$E,0),13))</f>
        <v>2</v>
      </c>
      <c r="L24" s="265">
        <f>IF(ISBLANK($B24),"",SUM(J24:J26))</f>
        <v>28690</v>
      </c>
      <c r="M24" s="265">
        <f>IF(ISBLANK($B24),"",SUM(K24:K26))</f>
        <v>19</v>
      </c>
      <c r="N24" s="268">
        <f>IF(ISBLANK($B24),"",RANK(M24,M:M,1))</f>
        <v>13</v>
      </c>
      <c r="O24" s="271">
        <f>IF(ISBLANK($B24),"",SUM(G24,L24))</f>
        <v>68930</v>
      </c>
      <c r="P24" s="253">
        <f>IF(ISBLANK($B24),"",SUM(H24,M24))</f>
        <v>33</v>
      </c>
      <c r="Q24" s="256">
        <f>IF(O24="","",RANK(P24,P:P,1))</f>
        <v>11</v>
      </c>
      <c r="R24" s="241">
        <f>IF(P24="","",RANK(Q24,Q:Q,1))</f>
        <v>11</v>
      </c>
    </row>
    <row r="25" spans="1:18" ht="12.75" customHeight="1" thickBot="1">
      <c r="A25" s="260"/>
      <c r="B25" s="263"/>
      <c r="C25" s="63">
        <v>4300</v>
      </c>
      <c r="D25" s="64" t="str">
        <f>IF(ISBLANK($C25),"",INDEX('Výsledková listina'!PRINT_AREA,MATCH($C25,'Výsledková listina'!$E:$E,0),2))</f>
        <v>Hejda Richard</v>
      </c>
      <c r="E25" s="38">
        <f>IF(ISBLANK($C25),"",INDEX('Výsledková listina'!PRINT_AREA,MATCH($C25,'Výsledková listina'!$E:$E,0),8))</f>
        <v>11410</v>
      </c>
      <c r="F25" s="39">
        <f>IF(ISBLANK($C25),"",INDEX('Výsledková listina'!PRINT_AREA,MATCH($C25,'Výsledková listina'!$E:$E,0),9))</f>
        <v>3</v>
      </c>
      <c r="G25" s="266"/>
      <c r="H25" s="266"/>
      <c r="I25" s="269"/>
      <c r="J25" s="43">
        <f>IF(ISBLANK($C25),"",INDEX('Výsledková listina'!PRINT_AREA,MATCH($C25,'Výsledková listina'!$E:$E,0),12))</f>
        <v>14020</v>
      </c>
      <c r="K25" s="39">
        <f>IF(ISBLANK($C25),"",INDEX('Výsledková listina'!PRINT_AREA,MATCH($C25,'Výsledková listina'!$E:$E,0),13))</f>
        <v>5</v>
      </c>
      <c r="L25" s="266"/>
      <c r="M25" s="266"/>
      <c r="N25" s="269"/>
      <c r="O25" s="272"/>
      <c r="P25" s="254"/>
      <c r="Q25" s="257"/>
      <c r="R25" s="242"/>
    </row>
    <row r="26" spans="1:18" ht="13.5" customHeight="1" thickBot="1">
      <c r="A26" s="261"/>
      <c r="B26" s="264"/>
      <c r="C26" s="71">
        <v>753</v>
      </c>
      <c r="D26" s="70" t="str">
        <f>IF(ISBLANK($C26),"",INDEX('Výsledková listina'!PRINT_AREA,MATCH($C26,'Výsledková listina'!$E:$E,0),2))</f>
        <v>Koubek František</v>
      </c>
      <c r="E26" s="40">
        <f>IF(ISBLANK($C26),"",INDEX('Výsledková listina'!PRINT_AREA,MATCH($C26,'Výsledková listina'!$E:$E,0),8))</f>
        <v>5420</v>
      </c>
      <c r="F26" s="41">
        <f>IF(ISBLANK($C26),"",INDEX('Výsledková listina'!PRINT_AREA,MATCH($C26,'Výsledková listina'!$E:$E,0),9))</f>
        <v>10</v>
      </c>
      <c r="G26" s="267"/>
      <c r="H26" s="267"/>
      <c r="I26" s="270"/>
      <c r="J26" s="43">
        <f>IF(ISBLANK($C26),"",INDEX('Výsledková listina'!PRINT_AREA,MATCH($C26,'Výsledková listina'!$E:$E,0),12))</f>
        <v>2850</v>
      </c>
      <c r="K26" s="41">
        <f>IF(ISBLANK($C26),"",INDEX('Výsledková listina'!PRINT_AREA,MATCH($C26,'Výsledková listina'!$E:$E,0),13))</f>
        <v>12</v>
      </c>
      <c r="L26" s="267"/>
      <c r="M26" s="267"/>
      <c r="N26" s="270"/>
      <c r="O26" s="273"/>
      <c r="P26" s="255"/>
      <c r="Q26" s="258"/>
      <c r="R26" s="243"/>
    </row>
    <row r="27" spans="1:18" ht="12.75" customHeight="1" thickBot="1">
      <c r="A27" s="259">
        <f>SUM(Q27)</f>
        <v>5</v>
      </c>
      <c r="B27" s="262" t="s">
        <v>142</v>
      </c>
      <c r="C27" s="61">
        <v>3428</v>
      </c>
      <c r="D27" s="62" t="str">
        <f>IF(ISBLANK($C27),"",INDEX('Výsledková listina'!PRINT_AREA,MATCH($C27,'Výsledková listina'!$E:$E,0),2))</f>
        <v>Kabát Petr</v>
      </c>
      <c r="E27" s="36">
        <f>IF(ISBLANK($C27),"",INDEX('Výsledková listina'!PRINT_AREA,MATCH($C27,'Výsledková listina'!$E:$E,0),8))</f>
        <v>16320</v>
      </c>
      <c r="F27" s="37">
        <f>IF(ISBLANK($C27),"",INDEX('Výsledková listina'!PRINT_AREA,MATCH($C27,'Výsledková listina'!$E:$E,0),9))</f>
        <v>2</v>
      </c>
      <c r="G27" s="265">
        <f>SUM(E27:E29)</f>
        <v>32550</v>
      </c>
      <c r="H27" s="265">
        <f>SUM(F27:F29)</f>
        <v>14</v>
      </c>
      <c r="I27" s="268">
        <f>RANK(H27,H:H,1)</f>
        <v>8</v>
      </c>
      <c r="J27" s="43">
        <f>IF(ISBLANK($C27),"",INDEX('Výsledková listina'!PRINT_AREA,MATCH($C27,'Výsledková listina'!$E:$E,0),12))</f>
        <v>16560</v>
      </c>
      <c r="K27" s="37">
        <f>IF(ISBLANK($C27),"",INDEX('Výsledková listina'!PRINT_AREA,MATCH($C27,'Výsledková listina'!$E:$E,0),13))</f>
        <v>1</v>
      </c>
      <c r="L27" s="265">
        <f>IF(ISBLANK($B27),"",SUM(J27:J29))</f>
        <v>42870</v>
      </c>
      <c r="M27" s="265">
        <f>IF(ISBLANK($B27),"",SUM(K27:K29))</f>
        <v>13</v>
      </c>
      <c r="N27" s="268">
        <f>IF(ISBLANK($B27),"",RANK(M27,M:M,1))</f>
        <v>6</v>
      </c>
      <c r="O27" s="271">
        <f>IF(ISBLANK($B27),"",SUM(G27,L27))</f>
        <v>75420</v>
      </c>
      <c r="P27" s="253">
        <f>IF(ISBLANK($B27),"",SUM(H27,M27))</f>
        <v>27</v>
      </c>
      <c r="Q27" s="274">
        <f>IF(O27="","",RANK(P27,P:P,1))</f>
        <v>5</v>
      </c>
      <c r="R27" s="244">
        <f>IF(P27="","",RANK(Q27,Q:Q,1))</f>
        <v>5</v>
      </c>
    </row>
    <row r="28" spans="1:18" ht="12.75" customHeight="1" thickBot="1">
      <c r="A28" s="260"/>
      <c r="B28" s="263"/>
      <c r="C28" s="63">
        <v>3706</v>
      </c>
      <c r="D28" s="64" t="str">
        <f>IF(ISBLANK($C28),"",INDEX('Výsledková listina'!PRINT_AREA,MATCH($C28,'Výsledková listina'!$E:$E,0),2))</f>
        <v>Komora Martin</v>
      </c>
      <c r="E28" s="38">
        <f>IF(ISBLANK($C28),"",INDEX('Výsledková listina'!PRINT_AREA,MATCH($C28,'Výsledková listina'!$E:$E,0),8))</f>
        <v>11790</v>
      </c>
      <c r="F28" s="39">
        <f>IF(ISBLANK($C28),"",INDEX('Výsledková listina'!PRINT_AREA,MATCH($C28,'Výsledková listina'!$E:$E,0),9))</f>
        <v>2</v>
      </c>
      <c r="G28" s="266"/>
      <c r="H28" s="266"/>
      <c r="I28" s="269"/>
      <c r="J28" s="43">
        <f>IF(ISBLANK($C28),"",INDEX('Výsledková listina'!PRINT_AREA,MATCH($C28,'Výsledková listina'!$E:$E,0),12))</f>
        <v>9480</v>
      </c>
      <c r="K28" s="39">
        <f>IF(ISBLANK($C28),"",INDEX('Výsledková listina'!PRINT_AREA,MATCH($C28,'Výsledková listina'!$E:$E,0),13))</f>
        <v>8</v>
      </c>
      <c r="L28" s="266"/>
      <c r="M28" s="266"/>
      <c r="N28" s="269"/>
      <c r="O28" s="272"/>
      <c r="P28" s="254"/>
      <c r="Q28" s="275"/>
      <c r="R28" s="245"/>
    </row>
    <row r="29" spans="1:18" ht="13.5" customHeight="1" thickBot="1">
      <c r="A29" s="261"/>
      <c r="B29" s="264"/>
      <c r="C29" s="71">
        <v>2355</v>
      </c>
      <c r="D29" s="70" t="str">
        <f>IF(ISBLANK($C29),"",INDEX('Výsledková listina'!PRINT_AREA,MATCH($C29,'Výsledková listina'!$E:$E,0),2))</f>
        <v>Nerad Rostislav</v>
      </c>
      <c r="E29" s="40">
        <f>IF(ISBLANK($C29),"",INDEX('Výsledková listina'!PRINT_AREA,MATCH($C29,'Výsledková listina'!$E:$E,0),8))</f>
        <v>4440</v>
      </c>
      <c r="F29" s="41">
        <f>IF(ISBLANK($C29),"",INDEX('Výsledková listina'!PRINT_AREA,MATCH($C29,'Výsledková listina'!$E:$E,0),9))</f>
        <v>10</v>
      </c>
      <c r="G29" s="267"/>
      <c r="H29" s="267"/>
      <c r="I29" s="270"/>
      <c r="J29" s="43">
        <f>IF(ISBLANK($C29),"",INDEX('Výsledková listina'!PRINT_AREA,MATCH($C29,'Výsledková listina'!$E:$E,0),12))</f>
        <v>16830</v>
      </c>
      <c r="K29" s="41">
        <f>IF(ISBLANK($C29),"",INDEX('Výsledková listina'!PRINT_AREA,MATCH($C29,'Výsledková listina'!$E:$E,0),13))</f>
        <v>4</v>
      </c>
      <c r="L29" s="267"/>
      <c r="M29" s="267"/>
      <c r="N29" s="270"/>
      <c r="O29" s="273"/>
      <c r="P29" s="255"/>
      <c r="Q29" s="276"/>
      <c r="R29" s="246"/>
    </row>
    <row r="30" spans="1:18" ht="12.75" customHeight="1" thickBot="1">
      <c r="A30" s="259">
        <f>SUM(Q30)</f>
        <v>27</v>
      </c>
      <c r="B30" s="262" t="s">
        <v>316</v>
      </c>
      <c r="C30" s="61">
        <v>4737</v>
      </c>
      <c r="D30" s="62" t="str">
        <f>IF(ISBLANK($C30),"",INDEX('Výsledková listina'!PRINT_AREA,MATCH($C30,'Výsledková listina'!$E:$E,0),2))</f>
        <v>Kapusta Lukáš</v>
      </c>
      <c r="E30" s="36">
        <f>IF(ISBLANK($C30),"",INDEX('Výsledková listina'!PRINT_AREA,MATCH($C30,'Výsledková listina'!$E:$E,0),8))</f>
        <v>13490</v>
      </c>
      <c r="F30" s="37">
        <f>IF(ISBLANK($C30),"",INDEX('Výsledková listina'!PRINT_AREA,MATCH($C30,'Výsledková listina'!$E:$E,0),9))</f>
        <v>5</v>
      </c>
      <c r="G30" s="265">
        <f>SUM(E30:E32)</f>
        <v>21670</v>
      </c>
      <c r="H30" s="265">
        <f>SUM(F30:F32)</f>
        <v>31.5</v>
      </c>
      <c r="I30" s="268">
        <f>RANK(H30,H:H,1)</f>
        <v>31</v>
      </c>
      <c r="J30" s="43">
        <f>IF(ISBLANK($C30),"",INDEX('Výsledková listina'!PRINT_AREA,MATCH($C30,'Výsledková listina'!$E:$E,0),12))</f>
        <v>13460</v>
      </c>
      <c r="K30" s="37">
        <f>IF(ISBLANK($C30),"",INDEX('Výsledková listina'!PRINT_AREA,MATCH($C30,'Výsledková listina'!$E:$E,0),13))</f>
        <v>4</v>
      </c>
      <c r="L30" s="265">
        <f>IF(ISBLANK($B30),"",SUM(J30:J32))</f>
        <v>20600</v>
      </c>
      <c r="M30" s="265">
        <f>IF(ISBLANK($B30),"",SUM(K30:K32))</f>
        <v>24</v>
      </c>
      <c r="N30" s="268">
        <f>IF(ISBLANK($B30),"",RANK(M30,M:M,1))</f>
        <v>23</v>
      </c>
      <c r="O30" s="271">
        <f>IF(ISBLANK($B30),"",SUM(G30,L30))</f>
        <v>42270</v>
      </c>
      <c r="P30" s="253">
        <f>IF(ISBLANK($B30),"",SUM(H30,M30))</f>
        <v>55.5</v>
      </c>
      <c r="Q30" s="256">
        <f>IF(O30="","",RANK(P30,P:P,1))</f>
        <v>27</v>
      </c>
      <c r="R30" s="241">
        <f>IF(P30="","",RANK(Q30,Q:Q,1))</f>
        <v>27</v>
      </c>
    </row>
    <row r="31" spans="1:18" ht="12.75" customHeight="1" thickBot="1">
      <c r="A31" s="260"/>
      <c r="B31" s="263"/>
      <c r="C31" s="63">
        <v>4738</v>
      </c>
      <c r="D31" s="64" t="str">
        <f>IF(ISBLANK($C31),"",INDEX('Výsledková listina'!PRINT_AREA,MATCH($C31,'Výsledková listina'!$E:$E,0),2))</f>
        <v>Zumr Michal</v>
      </c>
      <c r="E31" s="38">
        <f>IF(ISBLANK($C31),"",INDEX('Výsledková listina'!PRINT_AREA,MATCH($C31,'Výsledková listina'!$E:$E,0),8))</f>
        <v>5960</v>
      </c>
      <c r="F31" s="39">
        <f>IF(ISBLANK($C31),"",INDEX('Výsledková listina'!PRINT_AREA,MATCH($C31,'Výsledková listina'!$E:$E,0),9))</f>
        <v>11</v>
      </c>
      <c r="G31" s="266"/>
      <c r="H31" s="266"/>
      <c r="I31" s="269"/>
      <c r="J31" s="43">
        <f>IF(ISBLANK($C31),"",INDEX('Výsledková listina'!PRINT_AREA,MATCH($C31,'Výsledková listina'!$E:$E,0),12))</f>
        <v>4800</v>
      </c>
      <c r="K31" s="39">
        <f>IF(ISBLANK($C31),"",INDEX('Výsledková listina'!PRINT_AREA,MATCH($C31,'Výsledková listina'!$E:$E,0),13))</f>
        <v>6</v>
      </c>
      <c r="L31" s="266"/>
      <c r="M31" s="266"/>
      <c r="N31" s="269"/>
      <c r="O31" s="272"/>
      <c r="P31" s="254"/>
      <c r="Q31" s="257"/>
      <c r="R31" s="242"/>
    </row>
    <row r="32" spans="1:18" ht="13.5" customHeight="1" thickBot="1">
      <c r="A32" s="261"/>
      <c r="B32" s="264"/>
      <c r="C32" s="71">
        <v>6777</v>
      </c>
      <c r="D32" s="70" t="str">
        <f>IF(ISBLANK($C32),"",INDEX('Výsledková listina'!PRINT_AREA,MATCH($C32,'Výsledková listina'!$E:$E,0),2))</f>
        <v>Kotek Vojtěch</v>
      </c>
      <c r="E32" s="40">
        <f>IF(ISBLANK($C32),"",INDEX('Výsledková listina'!PRINT_AREA,MATCH($C32,'Výsledková listina'!$E:$E,0),8))</f>
        <v>2220</v>
      </c>
      <c r="F32" s="41">
        <f>IF(ISBLANK($C32),"",INDEX('Výsledková listina'!PRINT_AREA,MATCH($C32,'Výsledková listina'!$E:$E,0),9))</f>
        <v>15.5</v>
      </c>
      <c r="G32" s="267"/>
      <c r="H32" s="267"/>
      <c r="I32" s="270"/>
      <c r="J32" s="43">
        <f>IF(ISBLANK($C32),"",INDEX('Výsledková listina'!PRINT_AREA,MATCH($C32,'Výsledková listina'!$E:$E,0),12))</f>
        <v>2340</v>
      </c>
      <c r="K32" s="41">
        <f>IF(ISBLANK($C32),"",INDEX('Výsledková listina'!PRINT_AREA,MATCH($C32,'Výsledková listina'!$E:$E,0),13))</f>
        <v>14</v>
      </c>
      <c r="L32" s="267"/>
      <c r="M32" s="267"/>
      <c r="N32" s="270"/>
      <c r="O32" s="273"/>
      <c r="P32" s="255"/>
      <c r="Q32" s="258"/>
      <c r="R32" s="243"/>
    </row>
    <row r="33" spans="1:18" ht="12.75" customHeight="1" thickBot="1">
      <c r="A33" s="259">
        <f>SUM(Q33)</f>
        <v>34</v>
      </c>
      <c r="B33" s="262" t="s">
        <v>155</v>
      </c>
      <c r="C33" s="61">
        <v>1140</v>
      </c>
      <c r="D33" s="62" t="str">
        <f>IF(ISBLANK($C33),"",INDEX('Výsledková listina'!PRINT_AREA,MATCH($C33,'Výsledková listina'!$E:$E,0),2))</f>
        <v>Vican Roman</v>
      </c>
      <c r="E33" s="56"/>
      <c r="F33" s="37">
        <f>IF(ISBLANK($C33),"",INDEX('Výsledková listina'!PRINT_AREA,MATCH($C33,'Výsledková listina'!$E:$E,0),9))</f>
        <v>13</v>
      </c>
      <c r="G33" s="265">
        <f>SUM(E33:E35)</f>
        <v>13875</v>
      </c>
      <c r="H33" s="265">
        <f>SUM(F33:F35)</f>
        <v>29</v>
      </c>
      <c r="I33" s="268">
        <f>RANK(H33,H:H,1)</f>
        <v>29</v>
      </c>
      <c r="J33" s="43">
        <f>IF(ISBLANK($C33),"",INDEX('Výsledková listina'!PRINT_AREA,MATCH($C33,'Výsledková listina'!$E:$E,0),12))</f>
        <v>3180</v>
      </c>
      <c r="K33" s="37">
        <f>IF(ISBLANK($C33),"",INDEX('Výsledková listina'!PRINT_AREA,MATCH($C33,'Výsledková listina'!$E:$E,0),13))</f>
        <v>12</v>
      </c>
      <c r="L33" s="265">
        <f>IF(ISBLANK($B33),"",SUM(J33:J35))</f>
        <v>16110</v>
      </c>
      <c r="M33" s="265">
        <f>IF(ISBLANK($B33),"",SUM(K33:K35))</f>
        <v>31</v>
      </c>
      <c r="N33" s="268">
        <f>IF(ISBLANK($B33),"",RANK(M33,M:M,1))</f>
        <v>32</v>
      </c>
      <c r="O33" s="271">
        <f>IF(ISBLANK($B33),"",SUM(G33,L33))</f>
        <v>29985</v>
      </c>
      <c r="P33" s="253">
        <f>IF(ISBLANK($B33),"",SUM(H33,M33))</f>
        <v>60</v>
      </c>
      <c r="Q33" s="256">
        <f>IF(O33="","",RANK(P33,P:P,1))</f>
        <v>34</v>
      </c>
      <c r="R33" s="241">
        <f>IF(P33="","",RANK(Q33,Q:Q,1))</f>
        <v>34</v>
      </c>
    </row>
    <row r="34" spans="1:18" ht="12.75" customHeight="1" thickBot="1">
      <c r="A34" s="260"/>
      <c r="B34" s="263"/>
      <c r="C34" s="63">
        <v>6769</v>
      </c>
      <c r="D34" s="64" t="str">
        <f>IF(ISBLANK($C34),"",INDEX('Výsledková listina'!PRINT_AREA,MATCH($C34,'Výsledková listina'!$E:$E,0),2))</f>
        <v>Vichr Milan</v>
      </c>
      <c r="E34" s="38">
        <f>IF(ISBLANK($C34),"",INDEX('Výsledková listina'!PRINT_AREA,MATCH($C34,'Výsledková listina'!$E:$E,0),8))</f>
        <v>3880</v>
      </c>
      <c r="F34" s="39">
        <f>IF(ISBLANK($C34),"",INDEX('Výsledková listina'!PRINT_AREA,MATCH($C34,'Výsledková listina'!$E:$E,0),9))</f>
        <v>12</v>
      </c>
      <c r="G34" s="266"/>
      <c r="H34" s="266"/>
      <c r="I34" s="269"/>
      <c r="J34" s="43">
        <f>IF(ISBLANK($C34),"",INDEX('Výsledková listina'!PRINT_AREA,MATCH($C34,'Výsledková listina'!$E:$E,0),12))</f>
        <v>4980</v>
      </c>
      <c r="K34" s="39">
        <f>IF(ISBLANK($C34),"",INDEX('Výsledková listina'!PRINT_AREA,MATCH($C34,'Výsledková listina'!$E:$E,0),13))</f>
        <v>10</v>
      </c>
      <c r="L34" s="266"/>
      <c r="M34" s="266"/>
      <c r="N34" s="269"/>
      <c r="O34" s="272"/>
      <c r="P34" s="254"/>
      <c r="Q34" s="257"/>
      <c r="R34" s="242"/>
    </row>
    <row r="35" spans="1:18" ht="13.5" customHeight="1" thickBot="1">
      <c r="A35" s="261"/>
      <c r="B35" s="264"/>
      <c r="C35" s="71">
        <v>4625</v>
      </c>
      <c r="D35" s="70" t="str">
        <f>IF(ISBLANK($C35),"",INDEX('Výsledková listina'!PRINT_AREA,MATCH($C35,'Výsledková listina'!$E:$E,0),2))</f>
        <v>Hrdlička Jaroslav</v>
      </c>
      <c r="E35" s="40">
        <f>IF(ISBLANK($C35),"",INDEX('Výsledková listina'!PRINT_AREA,MATCH($C35,'Výsledková listina'!$E:$E,0),8))</f>
        <v>9995</v>
      </c>
      <c r="F35" s="41">
        <f>IF(ISBLANK($C35),"",INDEX('Výsledková listina'!PRINT_AREA,MATCH($C35,'Výsledková listina'!$E:$E,0),9))</f>
        <v>4</v>
      </c>
      <c r="G35" s="267"/>
      <c r="H35" s="267"/>
      <c r="I35" s="270"/>
      <c r="J35" s="43">
        <f>IF(ISBLANK($C35),"",INDEX('Výsledková listina'!PRINT_AREA,MATCH($C35,'Výsledková listina'!$E:$E,0),12))</f>
        <v>7950</v>
      </c>
      <c r="K35" s="41">
        <f>IF(ISBLANK($C35),"",INDEX('Výsledková listina'!PRINT_AREA,MATCH($C35,'Výsledková listina'!$E:$E,0),13))</f>
        <v>9</v>
      </c>
      <c r="L35" s="267"/>
      <c r="M35" s="267"/>
      <c r="N35" s="270"/>
      <c r="O35" s="273"/>
      <c r="P35" s="255"/>
      <c r="Q35" s="258"/>
      <c r="R35" s="243"/>
    </row>
    <row r="36" spans="1:18" ht="12.75" customHeight="1" thickBot="1">
      <c r="A36" s="259">
        <f>SUM(Q36)</f>
        <v>25</v>
      </c>
      <c r="B36" s="262" t="s">
        <v>338</v>
      </c>
      <c r="C36" s="61">
        <v>2373</v>
      </c>
      <c r="D36" s="62" t="str">
        <f>IF(ISBLANK($C36),"",INDEX('Výsledková listina'!PRINT_AREA,MATCH($C36,'Výsledková listina'!$E:$E,0),2))</f>
        <v>Havlíček Petr</v>
      </c>
      <c r="E36" s="36">
        <f>IF(ISBLANK($C36),"",INDEX('Výsledková listina'!PRINT_AREA,MATCH($C36,'Výsledková listina'!$E:$E,0),8))</f>
        <v>9140</v>
      </c>
      <c r="F36" s="37">
        <f>IF(ISBLANK($C36),"",INDEX('Výsledková listina'!PRINT_AREA,MATCH($C36,'Výsledková listina'!$E:$E,0),9))</f>
        <v>12</v>
      </c>
      <c r="G36" s="265">
        <f>SUM(E36:E38)</f>
        <v>24670</v>
      </c>
      <c r="H36" s="265">
        <f>SUM(F36:F38)</f>
        <v>28</v>
      </c>
      <c r="I36" s="268">
        <f>RANK(H36,H:H,1)</f>
        <v>28</v>
      </c>
      <c r="J36" s="43">
        <f>IF(ISBLANK($C36),"",INDEX('Výsledková listina'!PRINT_AREA,MATCH($C36,'Výsledková listina'!$E:$E,0),12))</f>
        <v>2220</v>
      </c>
      <c r="K36" s="37">
        <f>IF(ISBLANK($C36),"",INDEX('Výsledková listina'!PRINT_AREA,MATCH($C36,'Výsledková listina'!$E:$E,0),13))</f>
        <v>10</v>
      </c>
      <c r="L36" s="265">
        <f>IF(ISBLANK($B36),"",SUM(J36:J38))</f>
        <v>19840</v>
      </c>
      <c r="M36" s="265">
        <f>IF(ISBLANK($B36),"",SUM(K36:K38))</f>
        <v>23</v>
      </c>
      <c r="N36" s="268">
        <f>IF(ISBLANK($B36),"",RANK(M36,M:M,1))</f>
        <v>21</v>
      </c>
      <c r="O36" s="271">
        <f>IF(ISBLANK($B36),"",SUM(G36,L36))</f>
        <v>44510</v>
      </c>
      <c r="P36" s="253">
        <f>IF(ISBLANK($B36),"",SUM(H36,M36))</f>
        <v>51</v>
      </c>
      <c r="Q36" s="256">
        <f>IF(O36="","",RANK(P36,P:P,1))</f>
        <v>25</v>
      </c>
      <c r="R36" s="241">
        <f>IF(P36="","",RANK(Q36,Q:Q,1))</f>
        <v>25</v>
      </c>
    </row>
    <row r="37" spans="1:18" ht="12.75" customHeight="1" thickBot="1">
      <c r="A37" s="260"/>
      <c r="B37" s="263"/>
      <c r="C37" s="63">
        <v>3899</v>
      </c>
      <c r="D37" s="64" t="str">
        <f>IF(ISBLANK($C37),"",INDEX('Výsledková listina'!PRINT_AREA,MATCH($C37,'Výsledková listina'!$E:$E,0),2))</f>
        <v>Poskočil Petr</v>
      </c>
      <c r="E37" s="38">
        <f>IF(ISBLANK($C37),"",INDEX('Výsledková listina'!PRINT_AREA,MATCH($C37,'Výsledková listina'!$E:$E,0),8))</f>
        <v>6180</v>
      </c>
      <c r="F37" s="39">
        <f>IF(ISBLANK($C37),"",INDEX('Výsledková listina'!PRINT_AREA,MATCH($C37,'Výsledková listina'!$E:$E,0),9))</f>
        <v>7</v>
      </c>
      <c r="G37" s="266"/>
      <c r="H37" s="266"/>
      <c r="I37" s="269"/>
      <c r="J37" s="43">
        <f>IF(ISBLANK($C37),"",INDEX('Výsledková listina'!PRINT_AREA,MATCH($C37,'Výsledková listina'!$E:$E,0),12))</f>
        <v>5910</v>
      </c>
      <c r="K37" s="39">
        <f>IF(ISBLANK($C37),"",INDEX('Výsledková listina'!PRINT_AREA,MATCH($C37,'Výsledková listina'!$E:$E,0),13))</f>
        <v>8</v>
      </c>
      <c r="L37" s="266"/>
      <c r="M37" s="266"/>
      <c r="N37" s="269"/>
      <c r="O37" s="272"/>
      <c r="P37" s="254"/>
      <c r="Q37" s="257"/>
      <c r="R37" s="242"/>
    </row>
    <row r="38" spans="1:18" ht="13.5" customHeight="1" thickBot="1">
      <c r="A38" s="261"/>
      <c r="B38" s="264"/>
      <c r="C38" s="71">
        <v>2588</v>
      </c>
      <c r="D38" s="70" t="str">
        <f>IF(ISBLANK($C38),"",INDEX('Výsledková listina'!PRINT_AREA,MATCH($C38,'Výsledková listina'!$E:$E,0),2))</f>
        <v>Ludvík Jiří</v>
      </c>
      <c r="E38" s="40">
        <f>IF(ISBLANK($C38),"",INDEX('Výsledková listina'!PRINT_AREA,MATCH($C38,'Výsledková listina'!$E:$E,0),8))</f>
        <v>9350</v>
      </c>
      <c r="F38" s="41">
        <f>IF(ISBLANK($C38),"",INDEX('Výsledková listina'!PRINT_AREA,MATCH($C38,'Výsledková listina'!$E:$E,0),9))</f>
        <v>9</v>
      </c>
      <c r="G38" s="267"/>
      <c r="H38" s="267"/>
      <c r="I38" s="270"/>
      <c r="J38" s="43">
        <f>IF(ISBLANK($C38),"",INDEX('Výsledková listina'!PRINT_AREA,MATCH($C38,'Výsledková listina'!$E:$E,0),12))</f>
        <v>11710</v>
      </c>
      <c r="K38" s="41">
        <f>IF(ISBLANK($C38),"",INDEX('Výsledková listina'!PRINT_AREA,MATCH($C38,'Výsledková listina'!$E:$E,0),13))</f>
        <v>5</v>
      </c>
      <c r="L38" s="267"/>
      <c r="M38" s="267"/>
      <c r="N38" s="270"/>
      <c r="O38" s="273"/>
      <c r="P38" s="255"/>
      <c r="Q38" s="258"/>
      <c r="R38" s="243"/>
    </row>
    <row r="39" spans="1:18" ht="12.75" customHeight="1" thickBot="1">
      <c r="A39" s="259">
        <f>SUM(Q39)</f>
        <v>39</v>
      </c>
      <c r="B39" s="262" t="s">
        <v>308</v>
      </c>
      <c r="C39" s="61">
        <v>6680</v>
      </c>
      <c r="D39" s="62" t="str">
        <f>IF(ISBLANK($C39),"",INDEX('Výsledková listina'!PRINT_AREA,MATCH($C39,'Výsledková listina'!$E:$E,0),2))</f>
        <v>Šmitmajer Marek</v>
      </c>
      <c r="E39" s="36">
        <f>IF(ISBLANK($C39),"",INDEX('Výsledková listina'!PRINT_AREA,MATCH($C39,'Výsledková listina'!$E:$E,0),8))</f>
        <v>5700</v>
      </c>
      <c r="F39" s="37">
        <f>IF(ISBLANK($C39),"",INDEX('Výsledková listina'!PRINT_AREA,MATCH($C39,'Výsledková listina'!$E:$E,0),9))</f>
        <v>9</v>
      </c>
      <c r="G39" s="265">
        <f>SUM(E39:E41)</f>
        <v>20255</v>
      </c>
      <c r="H39" s="265">
        <f>SUM(F39:F41)</f>
        <v>32</v>
      </c>
      <c r="I39" s="268">
        <f>RANK(H39,H:H,1)</f>
        <v>32</v>
      </c>
      <c r="J39" s="43">
        <f>IF(ISBLANK($C39),"",INDEX('Výsledková listina'!PRINT_AREA,MATCH($C39,'Výsledková listina'!$E:$E,0),12))</f>
        <v>620</v>
      </c>
      <c r="K39" s="37">
        <f>IF(ISBLANK($C39),"",INDEX('Výsledková listina'!PRINT_AREA,MATCH($C39,'Výsledková listina'!$E:$E,0),13))</f>
        <v>14</v>
      </c>
      <c r="L39" s="265">
        <f>IF(ISBLANK($B39),"",SUM(J39:J41))</f>
        <v>9010</v>
      </c>
      <c r="M39" s="265">
        <f>IF(ISBLANK($B39),"",SUM(K39:K41))</f>
        <v>40</v>
      </c>
      <c r="N39" s="268">
        <f>IF(ISBLANK($B39),"",RANK(M39,M:M,1))</f>
        <v>42</v>
      </c>
      <c r="O39" s="271">
        <f>IF(ISBLANK($B39),"",SUM(G39,L39))</f>
        <v>29265</v>
      </c>
      <c r="P39" s="253">
        <f>IF(ISBLANK($B39),"",SUM(H39,M39))</f>
        <v>72</v>
      </c>
      <c r="Q39" s="256">
        <f>IF(O39="","",RANK(P39,P:P,1))</f>
        <v>39</v>
      </c>
      <c r="R39" s="241">
        <f>IF(P39="","",RANK(Q39,Q:Q,1))</f>
        <v>39</v>
      </c>
    </row>
    <row r="40" spans="1:18" ht="12.75" customHeight="1" thickBot="1">
      <c r="A40" s="260"/>
      <c r="B40" s="263"/>
      <c r="C40" s="63">
        <v>6110</v>
      </c>
      <c r="D40" s="64" t="str">
        <f>IF(ISBLANK($C40),"",INDEX('Výsledková listina'!PRINT_AREA,MATCH($C40,'Výsledková listina'!$E:$E,0),2))</f>
        <v>Němec Jan</v>
      </c>
      <c r="E40" s="38">
        <f>IF(ISBLANK($C40),"",INDEX('Výsledková listina'!PRINT_AREA,MATCH($C40,'Výsledková listina'!$E:$E,0),8))</f>
        <v>9435</v>
      </c>
      <c r="F40" s="39">
        <f>IF(ISBLANK($C40),"",INDEX('Výsledková listina'!PRINT_AREA,MATCH($C40,'Výsledková listina'!$E:$E,0),9))</f>
        <v>7</v>
      </c>
      <c r="G40" s="266"/>
      <c r="H40" s="266"/>
      <c r="I40" s="269"/>
      <c r="J40" s="43">
        <f>IF(ISBLANK($C40),"",INDEX('Výsledková listina'!PRINT_AREA,MATCH($C40,'Výsledková listina'!$E:$E,0),12))</f>
        <v>1760</v>
      </c>
      <c r="K40" s="39">
        <f>IF(ISBLANK($C40),"",INDEX('Výsledková listina'!PRINT_AREA,MATCH($C40,'Výsledková listina'!$E:$E,0),13))</f>
        <v>15</v>
      </c>
      <c r="L40" s="266"/>
      <c r="M40" s="266"/>
      <c r="N40" s="269"/>
      <c r="O40" s="272"/>
      <c r="P40" s="254"/>
      <c r="Q40" s="257"/>
      <c r="R40" s="242"/>
    </row>
    <row r="41" spans="1:18" ht="13.5" customHeight="1" thickBot="1">
      <c r="A41" s="261"/>
      <c r="B41" s="264"/>
      <c r="C41" s="71">
        <v>5186</v>
      </c>
      <c r="D41" s="70" t="str">
        <f>IF(ISBLANK($C41),"",INDEX('Výsledková listina'!PRINT_AREA,MATCH($C41,'Výsledková listina'!$E:$E,0),2))</f>
        <v>Svoboda Jiři</v>
      </c>
      <c r="E41" s="40">
        <f>IF(ISBLANK($C41),"",INDEX('Výsledková listina'!PRINT_AREA,MATCH($C41,'Výsledková listina'!$E:$E,0),8))</f>
        <v>5120</v>
      </c>
      <c r="F41" s="41">
        <f>IF(ISBLANK($C41),"",INDEX('Výsledková listina'!PRINT_AREA,MATCH($C41,'Výsledková listina'!$E:$E,0),9))</f>
        <v>16</v>
      </c>
      <c r="G41" s="267"/>
      <c r="H41" s="267"/>
      <c r="I41" s="270"/>
      <c r="J41" s="43">
        <f>IF(ISBLANK($C41),"",INDEX('Výsledková listina'!PRINT_AREA,MATCH($C41,'Výsledková listina'!$E:$E,0),12))</f>
        <v>6630</v>
      </c>
      <c r="K41" s="41">
        <f>IF(ISBLANK($C41),"",INDEX('Výsledková listina'!PRINT_AREA,MATCH($C41,'Výsledková listina'!$E:$E,0),13))</f>
        <v>11</v>
      </c>
      <c r="L41" s="267"/>
      <c r="M41" s="267"/>
      <c r="N41" s="270"/>
      <c r="O41" s="273"/>
      <c r="P41" s="255"/>
      <c r="Q41" s="258"/>
      <c r="R41" s="243"/>
    </row>
    <row r="42" spans="1:18" ht="12.75" customHeight="1" thickBot="1">
      <c r="A42" s="259">
        <f>SUM(Q42)</f>
        <v>9</v>
      </c>
      <c r="B42" s="262" t="s">
        <v>165</v>
      </c>
      <c r="C42" s="61">
        <v>3715</v>
      </c>
      <c r="D42" s="62" t="str">
        <f>IF(ISBLANK($C42),"",INDEX('Výsledková listina'!PRINT_AREA,MATCH($C42,'Výsledková listina'!$E:$E,0),2))</f>
        <v>Kortiš Ladislav</v>
      </c>
      <c r="E42" s="36">
        <f>IF(ISBLANK($C42),"",INDEX('Výsledková listina'!PRINT_AREA,MATCH($C42,'Výsledková listina'!$E:$E,0),8))</f>
        <v>6885</v>
      </c>
      <c r="F42" s="37">
        <f>IF(ISBLANK($C42),"",INDEX('Výsledková listina'!PRINT_AREA,MATCH($C42,'Výsledková listina'!$E:$E,0),9))</f>
        <v>7</v>
      </c>
      <c r="G42" s="265">
        <f>SUM(E42:E44)</f>
        <v>35638</v>
      </c>
      <c r="H42" s="265">
        <f>SUM(F42:F44)</f>
        <v>16</v>
      </c>
      <c r="I42" s="268">
        <f>RANK(H42,H:H,1)</f>
        <v>12</v>
      </c>
      <c r="J42" s="43">
        <f>IF(ISBLANK($C42),"",INDEX('Výsledková listina'!PRINT_AREA,MATCH($C42,'Výsledková listina'!$E:$E,0),12))</f>
        <v>10290</v>
      </c>
      <c r="K42" s="37">
        <f>IF(ISBLANK($C42),"",INDEX('Výsledková listina'!PRINT_AREA,MATCH($C42,'Výsledková listina'!$E:$E,0),13))</f>
        <v>5</v>
      </c>
      <c r="L42" s="265">
        <f>IF(ISBLANK($B42),"",SUM(J42:J44))</f>
        <v>30910</v>
      </c>
      <c r="M42" s="265">
        <f>IF(ISBLANK($B42),"",SUM(K42:K44))</f>
        <v>16</v>
      </c>
      <c r="N42" s="268">
        <f>IF(ISBLANK($B42),"",RANK(M42,M:M,1))</f>
        <v>11</v>
      </c>
      <c r="O42" s="271">
        <f>IF(ISBLANK($B42),"",SUM(G42,L42))</f>
        <v>66548</v>
      </c>
      <c r="P42" s="253">
        <f>IF(ISBLANK($B42),"",SUM(H42,M42))</f>
        <v>32</v>
      </c>
      <c r="Q42" s="274">
        <v>9</v>
      </c>
      <c r="R42" s="250">
        <f>IF(P42="","",RANK(Q42,Q:Q,1))</f>
        <v>9</v>
      </c>
    </row>
    <row r="43" spans="1:18" ht="12.75" customHeight="1" thickBot="1">
      <c r="A43" s="260"/>
      <c r="B43" s="263"/>
      <c r="C43" s="63">
        <v>1730</v>
      </c>
      <c r="D43" s="64" t="str">
        <f>IF(ISBLANK($C43),"",INDEX('Výsledková listina'!PRINT_AREA,MATCH($C43,'Výsledková listina'!$E:$E,0),2))</f>
        <v>Vitásek Jiří</v>
      </c>
      <c r="E43" s="38">
        <f>IF(ISBLANK($C43),"",INDEX('Výsledková listina'!PRINT_AREA,MATCH($C43,'Výsledková listina'!$E:$E,0),8))</f>
        <v>14750</v>
      </c>
      <c r="F43" s="39">
        <f>IF(ISBLANK($C43),"",INDEX('Výsledková listina'!PRINT_AREA,MATCH($C43,'Výsledková listina'!$E:$E,0),9))</f>
        <v>4</v>
      </c>
      <c r="G43" s="266"/>
      <c r="H43" s="266"/>
      <c r="I43" s="269"/>
      <c r="J43" s="43">
        <f>IF(ISBLANK($C43),"",INDEX('Výsledková listina'!PRINT_AREA,MATCH($C43,'Výsledková listina'!$E:$E,0),12))</f>
        <v>12760</v>
      </c>
      <c r="K43" s="39">
        <f>IF(ISBLANK($C43),"",INDEX('Výsledková listina'!PRINT_AREA,MATCH($C43,'Výsledková listina'!$E:$E,0),13))</f>
        <v>6</v>
      </c>
      <c r="L43" s="266"/>
      <c r="M43" s="266"/>
      <c r="N43" s="269"/>
      <c r="O43" s="272"/>
      <c r="P43" s="254"/>
      <c r="Q43" s="275"/>
      <c r="R43" s="251"/>
    </row>
    <row r="44" spans="1:18" ht="13.5" customHeight="1" thickBot="1">
      <c r="A44" s="261"/>
      <c r="B44" s="264"/>
      <c r="C44" s="65">
        <v>2763</v>
      </c>
      <c r="D44" s="66" t="str">
        <f>IF(ISBLANK($C44),"",INDEX('Výsledková listina'!PRINT_AREA,MATCH($C44,'Výsledková listina'!$E:$E,0),2))</f>
        <v>Vik Marek</v>
      </c>
      <c r="E44" s="43">
        <f>IF(ISBLANK($C44),"",INDEX('Výsledková listina'!PRINT_AREA,MATCH($C44,'Výsledková listina'!$E:$E,0),8))</f>
        <v>14003</v>
      </c>
      <c r="F44" s="44">
        <f>IF(ISBLANK($C44),"",INDEX('Výsledková listina'!PRINT_AREA,MATCH($C44,'Výsledková listina'!$E:$E,0),9))</f>
        <v>5</v>
      </c>
      <c r="G44" s="267"/>
      <c r="H44" s="267"/>
      <c r="I44" s="270"/>
      <c r="J44" s="43">
        <f>IF(ISBLANK($C44),"",INDEX('Výsledková listina'!PRINT_AREA,MATCH($C44,'Výsledková listina'!$E:$E,0),12))</f>
        <v>7860</v>
      </c>
      <c r="K44" s="44">
        <f>IF(ISBLANK($C44),"",INDEX('Výsledková listina'!PRINT_AREA,MATCH($C44,'Výsledková listina'!$E:$E,0),13))</f>
        <v>5</v>
      </c>
      <c r="L44" s="267"/>
      <c r="M44" s="267"/>
      <c r="N44" s="270"/>
      <c r="O44" s="273"/>
      <c r="P44" s="255"/>
      <c r="Q44" s="276"/>
      <c r="R44" s="252"/>
    </row>
    <row r="45" spans="1:18" ht="12.75" customHeight="1" thickBot="1">
      <c r="A45" s="259">
        <f>SUM(Q45)</f>
        <v>6</v>
      </c>
      <c r="B45" s="262" t="s">
        <v>166</v>
      </c>
      <c r="C45" s="67">
        <v>96</v>
      </c>
      <c r="D45" s="62" t="str">
        <f>IF(ISBLANK($C45),"",INDEX('Výsledková listina'!PRINT_AREA,MATCH($C45,'Výsledková listina'!$E:$E,0),2))</f>
        <v>Konopásek Josef</v>
      </c>
      <c r="E45" s="36">
        <f>IF(ISBLANK($C45),"",INDEX('Výsledková listina'!PRINT_AREA,MATCH($C45,'Výsledková listina'!$E:$E,0),8))</f>
        <v>17130</v>
      </c>
      <c r="F45" s="37">
        <f>IF(ISBLANK($C45),"",INDEX('Výsledková listina'!PRINT_AREA,MATCH($C45,'Výsledková listina'!$E:$E,0),9))</f>
        <v>1</v>
      </c>
      <c r="G45" s="265">
        <f>SUM(E45:E47)</f>
        <v>37875</v>
      </c>
      <c r="H45" s="265">
        <f>SUM(F45:F47)</f>
        <v>15</v>
      </c>
      <c r="I45" s="268">
        <f>RANK(H45,H:H,1)</f>
        <v>11</v>
      </c>
      <c r="J45" s="43">
        <f>IF(ISBLANK($C45),"",INDEX('Výsledková listina'!PRINT_AREA,MATCH($C45,'Výsledková listina'!$E:$E,0),12))</f>
        <v>16640</v>
      </c>
      <c r="K45" s="37">
        <f>IF(ISBLANK($C45),"",INDEX('Výsledková listina'!PRINT_AREA,MATCH($C45,'Výsledková listina'!$E:$E,0),13))</f>
        <v>1</v>
      </c>
      <c r="L45" s="265">
        <f>IF(ISBLANK($B45),"",SUM(J45:J47))</f>
        <v>39820</v>
      </c>
      <c r="M45" s="265">
        <f>IF(ISBLANK($B45),"",SUM(K45:K47))</f>
        <v>15</v>
      </c>
      <c r="N45" s="268">
        <f>IF(ISBLANK($B45),"",RANK(M45,M:M,1))</f>
        <v>8</v>
      </c>
      <c r="O45" s="271">
        <f>IF(ISBLANK($B45),"",SUM(G45,L45))</f>
        <v>77695</v>
      </c>
      <c r="P45" s="253">
        <f>IF(ISBLANK($B45),"",SUM(H45,M45))</f>
        <v>30</v>
      </c>
      <c r="Q45" s="274">
        <f>IF(O45="","",RANK(P45,P:P,1))</f>
        <v>6</v>
      </c>
      <c r="R45" s="250">
        <f>IF(P45="","",RANK(Q45,Q:Q,1))</f>
        <v>6</v>
      </c>
    </row>
    <row r="46" spans="1:18" ht="12.75" customHeight="1" thickBot="1">
      <c r="A46" s="260"/>
      <c r="B46" s="263"/>
      <c r="C46" s="68">
        <v>95</v>
      </c>
      <c r="D46" s="64" t="str">
        <f>IF(ISBLANK($C46),"",INDEX('Výsledková listina'!PRINT_AREA,MATCH($C46,'Výsledková listina'!$E:$E,0),2))</f>
        <v>Konopásek Ladislav</v>
      </c>
      <c r="E46" s="38">
        <f>IF(ISBLANK($C46),"",INDEX('Výsledková listina'!PRINT_AREA,MATCH($C46,'Výsledková listina'!$E:$E,0),8))</f>
        <v>13390</v>
      </c>
      <c r="F46" s="39">
        <f>IF(ISBLANK($C46),"",INDEX('Výsledková listina'!PRINT_AREA,MATCH($C46,'Výsledková listina'!$E:$E,0),9))</f>
        <v>5</v>
      </c>
      <c r="G46" s="266"/>
      <c r="H46" s="266"/>
      <c r="I46" s="269"/>
      <c r="J46" s="43">
        <f>IF(ISBLANK($C46),"",INDEX('Výsledková listina'!PRINT_AREA,MATCH($C46,'Výsledková listina'!$E:$E,0),12))</f>
        <v>10920</v>
      </c>
      <c r="K46" s="39">
        <f>IF(ISBLANK($C46),"",INDEX('Výsledková listina'!PRINT_AREA,MATCH($C46,'Výsledková listina'!$E:$E,0),13))</f>
        <v>4</v>
      </c>
      <c r="L46" s="266"/>
      <c r="M46" s="266"/>
      <c r="N46" s="269"/>
      <c r="O46" s="272"/>
      <c r="P46" s="254"/>
      <c r="Q46" s="275"/>
      <c r="R46" s="251"/>
    </row>
    <row r="47" spans="1:18" ht="13.5" customHeight="1" thickBot="1">
      <c r="A47" s="261"/>
      <c r="B47" s="264"/>
      <c r="C47" s="69">
        <v>94</v>
      </c>
      <c r="D47" s="70" t="str">
        <f>IF(ISBLANK($C47),"",INDEX('Výsledková listina'!PRINT_AREA,MATCH($C47,'Výsledková listina'!$E:$E,0),2))</f>
        <v>Konopásek Richard</v>
      </c>
      <c r="E47" s="40">
        <f>IF(ISBLANK($C47),"",INDEX('Výsledková listina'!PRINT_AREA,MATCH($C47,'Výsledková listina'!$E:$E,0),8))</f>
        <v>7355</v>
      </c>
      <c r="F47" s="39">
        <f>IF(ISBLANK($C47),"",INDEX('Výsledková listina'!PRINT_AREA,MATCH($C47,'Výsledková listina'!$E:$E,0),9))</f>
        <v>9</v>
      </c>
      <c r="G47" s="267"/>
      <c r="H47" s="267"/>
      <c r="I47" s="270"/>
      <c r="J47" s="43">
        <f>IF(ISBLANK($C47),"",INDEX('Výsledková listina'!PRINT_AREA,MATCH($C47,'Výsledková listina'!$E:$E,0),12))</f>
        <v>12260</v>
      </c>
      <c r="K47" s="41">
        <f>IF(ISBLANK($C47),"",INDEX('Výsledková listina'!PRINT_AREA,MATCH($C47,'Výsledková listina'!$E:$E,0),13))</f>
        <v>10</v>
      </c>
      <c r="L47" s="267"/>
      <c r="M47" s="267"/>
      <c r="N47" s="270"/>
      <c r="O47" s="273"/>
      <c r="P47" s="255"/>
      <c r="Q47" s="276"/>
      <c r="R47" s="252"/>
    </row>
    <row r="48" spans="1:18" ht="12.75" customHeight="1" thickBot="1">
      <c r="A48" s="283">
        <f>SUM(Q48)</f>
        <v>3</v>
      </c>
      <c r="B48" s="332" t="s">
        <v>180</v>
      </c>
      <c r="C48" s="134">
        <v>3042</v>
      </c>
      <c r="D48" s="135" t="str">
        <f>IF(ISBLANK($C48),"",INDEX('Výsledková listina'!PRINT_AREA,MATCH($C48,'Výsledková listina'!$E:$E,0),2))</f>
        <v>Hájek Ondřej</v>
      </c>
      <c r="E48" s="136">
        <f>IF(ISBLANK($C48),"",INDEX('Výsledková listina'!PRINT_AREA,MATCH($C48,'Výsledková listina'!$E:$E,0),8))</f>
        <v>23320</v>
      </c>
      <c r="F48" s="137">
        <f>IF(ISBLANK($C48),"",INDEX('Výsledková listina'!PRINT_AREA,MATCH($C48,'Výsledková listina'!$E:$E,0),9))</f>
        <v>2</v>
      </c>
      <c r="G48" s="314">
        <f>SUM(E48:E50)</f>
        <v>49775</v>
      </c>
      <c r="H48" s="314">
        <f>SUM(F48:F50)</f>
        <v>6</v>
      </c>
      <c r="I48" s="326">
        <f>RANK(H48,H:H,1)</f>
        <v>1</v>
      </c>
      <c r="J48" s="138">
        <f>IF(ISBLANK($C48),"",INDEX('Výsledková listina'!PRINT_AREA,MATCH($C48,'Výsledková listina'!$E:$E,0),12))</f>
        <v>14960</v>
      </c>
      <c r="K48" s="137">
        <f>IF(ISBLANK($C48),"",INDEX('Výsledková listina'!PRINT_AREA,MATCH($C48,'Výsledková listina'!$E:$E,0),13))</f>
        <v>2</v>
      </c>
      <c r="L48" s="314">
        <f>IF(ISBLANK($B48),"",SUM(J48:J50))</f>
        <v>38100</v>
      </c>
      <c r="M48" s="314">
        <f>IF(ISBLANK($B48),"",SUM(K48:K50))</f>
        <v>15</v>
      </c>
      <c r="N48" s="326">
        <f>IF(ISBLANK($B48),"",RANK(M48,M:M,1))</f>
        <v>8</v>
      </c>
      <c r="O48" s="335">
        <f>IF(ISBLANK($B48),"",SUM(G48,L48))</f>
        <v>87875</v>
      </c>
      <c r="P48" s="329">
        <f>IF(ISBLANK($B48),"",SUM(H48,M48))</f>
        <v>21</v>
      </c>
      <c r="Q48" s="274">
        <f>IF(O48="","",RANK(P48,P:P,1))</f>
        <v>3</v>
      </c>
      <c r="R48" s="250">
        <f>IF(P48="","",RANK(Q48,Q:Q,1))</f>
        <v>3</v>
      </c>
    </row>
    <row r="49" spans="1:18" ht="12.75" customHeight="1" thickBot="1">
      <c r="A49" s="284"/>
      <c r="B49" s="333"/>
      <c r="C49" s="139">
        <v>3677</v>
      </c>
      <c r="D49" s="140" t="str">
        <f>IF(ISBLANK($C49),"",INDEX('Výsledková listina'!PRINT_AREA,MATCH($C49,'Výsledková listina'!$E:$E,0),2))</f>
        <v>Peterka Jaroslav</v>
      </c>
      <c r="E49" s="141">
        <f>IF(ISBLANK($C49),"",INDEX('Výsledková listina'!PRINT_AREA,MATCH($C49,'Výsledková listina'!$E:$E,0),8))</f>
        <v>14410</v>
      </c>
      <c r="F49" s="142">
        <f>IF(ISBLANK($C49),"",INDEX('Výsledková listina'!PRINT_AREA,MATCH($C49,'Výsledková listina'!$E:$E,0),9))</f>
        <v>1</v>
      </c>
      <c r="G49" s="315"/>
      <c r="H49" s="315"/>
      <c r="I49" s="327"/>
      <c r="J49" s="138">
        <f>IF(ISBLANK($C49),"",INDEX('Výsledková listina'!PRINT_AREA,MATCH($C49,'Výsledková listina'!$E:$E,0),12))</f>
        <v>6670</v>
      </c>
      <c r="K49" s="142">
        <f>IF(ISBLANK($C49),"",INDEX('Výsledková listina'!PRINT_AREA,MATCH($C49,'Výsledková listina'!$E:$E,0),13))</f>
        <v>11</v>
      </c>
      <c r="L49" s="315"/>
      <c r="M49" s="315"/>
      <c r="N49" s="327"/>
      <c r="O49" s="336"/>
      <c r="P49" s="330"/>
      <c r="Q49" s="275"/>
      <c r="R49" s="251"/>
    </row>
    <row r="50" spans="1:18" ht="13.5" customHeight="1" thickBot="1">
      <c r="A50" s="285"/>
      <c r="B50" s="334"/>
      <c r="C50" s="164">
        <v>4251</v>
      </c>
      <c r="D50" s="143" t="str">
        <f>IF(ISBLANK($C50),"",INDEX('Výsledková listina'!PRINT_AREA,MATCH($C50,'Výsledková listina'!$E:$E,0),2))</f>
        <v>Holčák Radek</v>
      </c>
      <c r="E50" s="144">
        <f>IF(ISBLANK($C50),"",INDEX('Výsledková listina'!PRINT_AREA,MATCH($C50,'Výsledková listina'!$E:$E,0),8))</f>
        <v>12045</v>
      </c>
      <c r="F50" s="145">
        <f>IF(ISBLANK($C50),"",INDEX('Výsledková listina'!PRINT_AREA,MATCH($C50,'Výsledková listina'!$E:$E,0),9))</f>
        <v>3</v>
      </c>
      <c r="G50" s="316"/>
      <c r="H50" s="316"/>
      <c r="I50" s="328"/>
      <c r="J50" s="138">
        <f>IF(ISBLANK($C50),"",INDEX('Výsledková listina'!PRINT_AREA,MATCH($C50,'Výsledková listina'!$E:$E,0),12))</f>
        <v>16470</v>
      </c>
      <c r="K50" s="145">
        <f>IF(ISBLANK($C50),"",INDEX('Výsledková listina'!PRINT_AREA,MATCH($C50,'Výsledková listina'!$E:$E,0),13))</f>
        <v>2</v>
      </c>
      <c r="L50" s="316"/>
      <c r="M50" s="316"/>
      <c r="N50" s="328"/>
      <c r="O50" s="337"/>
      <c r="P50" s="331"/>
      <c r="Q50" s="276"/>
      <c r="R50" s="252"/>
    </row>
    <row r="51" spans="1:18" ht="12.75" customHeight="1" thickBot="1">
      <c r="A51" s="259">
        <f>SUM(Q51)</f>
        <v>31</v>
      </c>
      <c r="B51" s="262" t="s">
        <v>186</v>
      </c>
      <c r="C51" s="61">
        <v>5139</v>
      </c>
      <c r="D51" s="62" t="str">
        <f>IF(ISBLANK($C51),"",INDEX('Výsledková listina'!PRINT_AREA,MATCH($C51,'Výsledková listina'!$E:$E,0),2))</f>
        <v>Grofová Lenka</v>
      </c>
      <c r="E51" s="36">
        <f>IF(ISBLANK($C51),"",INDEX('Výsledková listina'!PRINT_AREA,MATCH($C51,'Výsledková listina'!$E:$E,0),8))</f>
        <v>13380</v>
      </c>
      <c r="F51" s="37">
        <f>IF(ISBLANK($C51),"",INDEX('Výsledková listina'!PRINT_AREA,MATCH($C51,'Výsledková listina'!$E:$E,0),9))</f>
        <v>6</v>
      </c>
      <c r="G51" s="265">
        <f>SUM(E51:E53)</f>
        <v>26345</v>
      </c>
      <c r="H51" s="265">
        <f>SUM(F51:F53)</f>
        <v>27</v>
      </c>
      <c r="I51" s="268">
        <f>RANK(H51,H:H,1)</f>
        <v>25</v>
      </c>
      <c r="J51" s="43">
        <f>IF(ISBLANK($C51),"",INDEX('Výsledková listina'!PRINT_AREA,MATCH($C51,'Výsledková listina'!$E:$E,0),12))</f>
        <v>9270</v>
      </c>
      <c r="K51" s="37">
        <f>IF(ISBLANK($C51),"",INDEX('Výsledková listina'!PRINT_AREA,MATCH($C51,'Výsledková listina'!$E:$E,0),13))</f>
        <v>11</v>
      </c>
      <c r="L51" s="265">
        <f>IF(ISBLANK($B51),"",SUM(J51:J53))</f>
        <v>20580</v>
      </c>
      <c r="M51" s="265">
        <f>IF(ISBLANK($B51),"",SUM(K51:K53))</f>
        <v>31</v>
      </c>
      <c r="N51" s="268">
        <f>IF(ISBLANK($B51),"",RANK(M51,M:M,1))</f>
        <v>32</v>
      </c>
      <c r="O51" s="271">
        <f>IF(ISBLANK($B51),"",SUM(G51,L51))</f>
        <v>46925</v>
      </c>
      <c r="P51" s="253">
        <f>IF(ISBLANK($B51),"",SUM(H51,M51))</f>
        <v>58</v>
      </c>
      <c r="Q51" s="256">
        <v>31</v>
      </c>
      <c r="R51" s="241">
        <f>IF(P51="","",RANK(Q51,Q:Q,1))</f>
        <v>31</v>
      </c>
    </row>
    <row r="52" spans="1:18" ht="12.75" customHeight="1" thickBot="1">
      <c r="A52" s="260"/>
      <c r="B52" s="263"/>
      <c r="C52" s="63">
        <v>4324</v>
      </c>
      <c r="D52" s="64" t="str">
        <f>IF(ISBLANK($C52),"",INDEX('Výsledková listina'!PRINT_AREA,MATCH($C52,'Výsledková listina'!$E:$E,0),2))</f>
        <v>Špánek Milan</v>
      </c>
      <c r="E52" s="38">
        <f>IF(ISBLANK($C52),"",INDEX('Výsledková listina'!PRINT_AREA,MATCH($C52,'Výsledková listina'!$E:$E,0),8))</f>
        <v>7540</v>
      </c>
      <c r="F52" s="39">
        <f>IF(ISBLANK($C52),"",INDEX('Výsledková listina'!PRINT_AREA,MATCH($C52,'Výsledková listina'!$E:$E,0),9))</f>
        <v>9</v>
      </c>
      <c r="G52" s="266"/>
      <c r="H52" s="266"/>
      <c r="I52" s="269"/>
      <c r="J52" s="43">
        <f>IF(ISBLANK($C52),"",INDEX('Výsledková listina'!PRINT_AREA,MATCH($C52,'Výsledková listina'!$E:$E,0),12))</f>
        <v>5810</v>
      </c>
      <c r="K52" s="39">
        <f>IF(ISBLANK($C52),"",INDEX('Výsledková listina'!PRINT_AREA,MATCH($C52,'Výsledková listina'!$E:$E,0),13))</f>
        <v>9</v>
      </c>
      <c r="L52" s="266"/>
      <c r="M52" s="266"/>
      <c r="N52" s="269"/>
      <c r="O52" s="272"/>
      <c r="P52" s="254"/>
      <c r="Q52" s="257"/>
      <c r="R52" s="242"/>
    </row>
    <row r="53" spans="1:18" ht="13.5" customHeight="1" thickBot="1">
      <c r="A53" s="261"/>
      <c r="B53" s="264"/>
      <c r="C53" s="65">
        <v>5621</v>
      </c>
      <c r="D53" s="66" t="str">
        <f>IF(ISBLANK($C53),"",INDEX('Výsledková listina'!PRINT_AREA,MATCH($C53,'Výsledková listina'!$E:$E,0),2))</f>
        <v>Dědík Vladimír</v>
      </c>
      <c r="E53" s="43">
        <f>IF(ISBLANK($C53),"",INDEX('Výsledková listina'!PRINT_AREA,MATCH($C53,'Výsledková listina'!$E:$E,0),8))</f>
        <v>5425</v>
      </c>
      <c r="F53" s="44">
        <f>IF(ISBLANK($C53),"",INDEX('Výsledková listina'!PRINT_AREA,MATCH($C53,'Výsledková listina'!$E:$E,0),9))</f>
        <v>12</v>
      </c>
      <c r="G53" s="267"/>
      <c r="H53" s="267"/>
      <c r="I53" s="270"/>
      <c r="J53" s="43">
        <f>IF(ISBLANK($C53),"",INDEX('Výsledková listina'!PRINT_AREA,MATCH($C53,'Výsledková listina'!$E:$E,0),12))</f>
        <v>5500</v>
      </c>
      <c r="K53" s="44">
        <f>IF(ISBLANK($C53),"",INDEX('Výsledková listina'!PRINT_AREA,MATCH($C53,'Výsledková listina'!$E:$E,0),13))</f>
        <v>11</v>
      </c>
      <c r="L53" s="267"/>
      <c r="M53" s="267"/>
      <c r="N53" s="270"/>
      <c r="O53" s="273"/>
      <c r="P53" s="255"/>
      <c r="Q53" s="258"/>
      <c r="R53" s="243"/>
    </row>
    <row r="54" spans="1:18" ht="12.75" customHeight="1" thickBot="1">
      <c r="A54" s="259">
        <f>SUM(Q54)</f>
        <v>4</v>
      </c>
      <c r="B54" s="320" t="s">
        <v>296</v>
      </c>
      <c r="C54" s="151">
        <v>2298</v>
      </c>
      <c r="D54" s="152" t="str">
        <f>IF(ISBLANK($C54),"",INDEX('Výsledková listina'!PRINT_AREA,MATCH($C54,'Výsledková listina'!$E:$E,0),2))</f>
        <v>Štěpnička Milan</v>
      </c>
      <c r="E54" s="153">
        <f>IF(ISBLANK($C54),"",INDEX('Výsledková listina'!PRINT_AREA,MATCH($C54,'Výsledková listina'!$E:$E,0),8))</f>
        <v>11130</v>
      </c>
      <c r="F54" s="154">
        <f>IF(ISBLANK($C54),"",INDEX('Výsledková listina'!PRINT_AREA,MATCH($C54,'Výsledková listina'!$E:$E,0),9))</f>
        <v>7</v>
      </c>
      <c r="G54" s="317">
        <f>SUM(E54:E56)</f>
        <v>49455</v>
      </c>
      <c r="H54" s="317">
        <f>SUM(F54:F56)</f>
        <v>11</v>
      </c>
      <c r="I54" s="323">
        <f>RANK(H54,H:H,1)</f>
        <v>4</v>
      </c>
      <c r="J54" s="155">
        <f>IF(ISBLANK($C54),"",INDEX('Výsledková listina'!PRINT_AREA,MATCH($C54,'Výsledková listina'!$E:$E,0),12))</f>
        <v>3500</v>
      </c>
      <c r="K54" s="154">
        <f>IF(ISBLANK($C54),"",INDEX('Výsledková listina'!PRINT_AREA,MATCH($C54,'Výsledková listina'!$E:$E,0),13))</f>
        <v>8</v>
      </c>
      <c r="L54" s="317">
        <f>IF(ISBLANK($B54),"",SUM(J54:J56))</f>
        <v>33860</v>
      </c>
      <c r="M54" s="317">
        <f>IF(ISBLANK($B54),"",SUM(K54:K56))</f>
        <v>10</v>
      </c>
      <c r="N54" s="323">
        <f>IF(ISBLANK($B54),"",RANK(M54,M:M,1))</f>
        <v>3</v>
      </c>
      <c r="O54" s="360">
        <f>IF(ISBLANK($B54),"",SUM(G54,L54))</f>
        <v>83315</v>
      </c>
      <c r="P54" s="357">
        <f>IF(ISBLANK($B54),"",SUM(H54,M54))</f>
        <v>21</v>
      </c>
      <c r="Q54" s="274">
        <v>4</v>
      </c>
      <c r="R54" s="250">
        <v>5</v>
      </c>
    </row>
    <row r="55" spans="1:18" ht="12.75" customHeight="1" thickBot="1">
      <c r="A55" s="260"/>
      <c r="B55" s="321"/>
      <c r="C55" s="156">
        <v>2299</v>
      </c>
      <c r="D55" s="157" t="str">
        <f>IF(ISBLANK($C55),"",INDEX('Výsledková listina'!PRINT_AREA,MATCH($C55,'Výsledková listina'!$E:$E,0),2))</f>
        <v>Štěpnička Radek</v>
      </c>
      <c r="E55" s="158">
        <f>IF(ISBLANK($C55),"",INDEX('Výsledková listina'!PRINT_AREA,MATCH($C55,'Výsledková listina'!$E:$E,0),8))</f>
        <v>16885</v>
      </c>
      <c r="F55" s="159">
        <f>IF(ISBLANK($C55),"",INDEX('Výsledková listina'!PRINT_AREA,MATCH($C55,'Výsledková listina'!$E:$E,0),9))</f>
        <v>2</v>
      </c>
      <c r="G55" s="318"/>
      <c r="H55" s="318"/>
      <c r="I55" s="324"/>
      <c r="J55" s="155">
        <f>IF(ISBLANK($C55),"",INDEX('Výsledková listina'!PRINT_AREA,MATCH($C55,'Výsledková listina'!$E:$E,0),12))</f>
        <v>16560</v>
      </c>
      <c r="K55" s="159">
        <f>IF(ISBLANK($C55),"",INDEX('Výsledková listina'!PRINT_AREA,MATCH($C55,'Výsledková listina'!$E:$E,0),13))</f>
        <v>1</v>
      </c>
      <c r="L55" s="318"/>
      <c r="M55" s="318"/>
      <c r="N55" s="324"/>
      <c r="O55" s="361"/>
      <c r="P55" s="358"/>
      <c r="Q55" s="275"/>
      <c r="R55" s="251"/>
    </row>
    <row r="56" spans="1:18" ht="13.5" customHeight="1" thickBot="1">
      <c r="A56" s="261"/>
      <c r="B56" s="322"/>
      <c r="C56" s="160">
        <v>2539</v>
      </c>
      <c r="D56" s="161" t="str">
        <f>IF(ISBLANK($C56),"",INDEX('Výsledková listina'!PRINT_AREA,MATCH($C56,'Výsledková listina'!$E:$E,0),2))</f>
        <v>Štěpnička Martin</v>
      </c>
      <c r="E56" s="162">
        <f>IF(ISBLANK($C56),"",INDEX('Výsledková listina'!PRINT_AREA,MATCH($C56,'Výsledková listina'!$E:$E,0),8))</f>
        <v>21440</v>
      </c>
      <c r="F56" s="163">
        <f>IF(ISBLANK($C56),"",INDEX('Výsledková listina'!PRINT_AREA,MATCH($C56,'Výsledková listina'!$E:$E,0),9))</f>
        <v>2</v>
      </c>
      <c r="G56" s="319"/>
      <c r="H56" s="319"/>
      <c r="I56" s="325"/>
      <c r="J56" s="155">
        <f>IF(ISBLANK($C56),"",INDEX('Výsledková listina'!PRINT_AREA,MATCH($C56,'Výsledková listina'!$E:$E,0),12))</f>
        <v>13800</v>
      </c>
      <c r="K56" s="163">
        <f>IF(ISBLANK($C56),"",INDEX('Výsledková listina'!PRINT_AREA,MATCH($C56,'Výsledková listina'!$E:$E,0),13))</f>
        <v>1</v>
      </c>
      <c r="L56" s="319"/>
      <c r="M56" s="319"/>
      <c r="N56" s="325"/>
      <c r="O56" s="362"/>
      <c r="P56" s="359"/>
      <c r="Q56" s="276"/>
      <c r="R56" s="252"/>
    </row>
    <row r="57" spans="1:18" ht="12.75" customHeight="1" thickBot="1">
      <c r="A57" s="259">
        <f>SUM(Q57)</f>
        <v>21</v>
      </c>
      <c r="B57" s="262" t="s">
        <v>195</v>
      </c>
      <c r="C57" s="61">
        <v>5939</v>
      </c>
      <c r="D57" s="62" t="str">
        <f>IF(ISBLANK($C57),"",INDEX('Výsledková listina'!PRINT_AREA,MATCH($C57,'Výsledková listina'!$E:$E,0),2))</f>
        <v>Vosáhlo Pavel</v>
      </c>
      <c r="E57" s="36">
        <f>IF(ISBLANK($C57),"",INDEX('Výsledková listina'!PRINT_AREA,MATCH($C57,'Výsledková listina'!$E:$E,0),8))</f>
        <v>10305</v>
      </c>
      <c r="F57" s="37">
        <f>IF(ISBLANK($C57),"",INDEX('Výsledková listina'!PRINT_AREA,MATCH($C57,'Výsledková listina'!$E:$E,0),9))</f>
        <v>4</v>
      </c>
      <c r="G57" s="265">
        <f>SUM(E57:E59)</f>
        <v>24185</v>
      </c>
      <c r="H57" s="265">
        <f>SUM(F57:F59)</f>
        <v>26</v>
      </c>
      <c r="I57" s="268">
        <f>RANK(H57,H:H,1)</f>
        <v>24</v>
      </c>
      <c r="J57" s="43">
        <f>IF(ISBLANK($C57),"",INDEX('Výsledková listina'!PRINT_AREA,MATCH($C57,'Výsledková listina'!$E:$E,0),12))</f>
        <v>5320</v>
      </c>
      <c r="K57" s="37">
        <f>IF(ISBLANK($C57),"",INDEX('Výsledková listina'!PRINT_AREA,MATCH($C57,'Výsledková listina'!$E:$E,0),13))</f>
        <v>3</v>
      </c>
      <c r="L57" s="265">
        <f>IF(ISBLANK($B57),"",SUM(J57:J59))</f>
        <v>22150</v>
      </c>
      <c r="M57" s="265">
        <f>IF(ISBLANK($B57),"",SUM(K57:K59))</f>
        <v>19</v>
      </c>
      <c r="N57" s="268">
        <f>IF(ISBLANK($B57),"",RANK(M57,M:M,1))</f>
        <v>13</v>
      </c>
      <c r="O57" s="271">
        <f>IF(ISBLANK($B57),"",SUM(G57,L57))</f>
        <v>46335</v>
      </c>
      <c r="P57" s="253">
        <f>IF(ISBLANK($B57),"",SUM(H57,M57))</f>
        <v>45</v>
      </c>
      <c r="Q57" s="256">
        <f>IF(O57="","",RANK(P57,P:P,1))</f>
        <v>21</v>
      </c>
      <c r="R57" s="241">
        <f>IF(P57="","",RANK(Q57,Q:Q,1))</f>
        <v>21</v>
      </c>
    </row>
    <row r="58" spans="1:18" ht="12.75" customHeight="1" thickBot="1">
      <c r="A58" s="260"/>
      <c r="B58" s="263"/>
      <c r="C58" s="63">
        <v>5582</v>
      </c>
      <c r="D58" s="64" t="str">
        <f>IF(ISBLANK($C58),"",INDEX('Výsledková listina'!PRINT_AREA,MATCH($C58,'Výsledková listina'!$E:$E,0),2))</f>
        <v>Šitina Josef</v>
      </c>
      <c r="E58" s="38">
        <f>IF(ISBLANK($C58),"",INDEX('Výsledková listina'!PRINT_AREA,MATCH($C58,'Výsledková listina'!$E:$E,0),8))</f>
        <v>11400</v>
      </c>
      <c r="F58" s="39">
        <f>IF(ISBLANK($C58),"",INDEX('Výsledková listina'!PRINT_AREA,MATCH($C58,'Výsledková listina'!$E:$E,0),9))</f>
        <v>7</v>
      </c>
      <c r="G58" s="266"/>
      <c r="H58" s="266"/>
      <c r="I58" s="269"/>
      <c r="J58" s="43">
        <f>IF(ISBLANK($C58),"",INDEX('Výsledková listina'!PRINT_AREA,MATCH($C58,'Výsledková listina'!$E:$E,0),12))</f>
        <v>14410</v>
      </c>
      <c r="K58" s="39">
        <f>IF(ISBLANK($C58),"",INDEX('Výsledková listina'!PRINT_AREA,MATCH($C58,'Výsledková listina'!$E:$E,0),13))</f>
        <v>3</v>
      </c>
      <c r="L58" s="266"/>
      <c r="M58" s="266"/>
      <c r="N58" s="269"/>
      <c r="O58" s="272"/>
      <c r="P58" s="254"/>
      <c r="Q58" s="257"/>
      <c r="R58" s="242"/>
    </row>
    <row r="59" spans="1:18" ht="13.5" customHeight="1" thickBot="1">
      <c r="A59" s="261"/>
      <c r="B59" s="264"/>
      <c r="C59" s="71">
        <v>6705</v>
      </c>
      <c r="D59" s="70" t="str">
        <f>IF(ISBLANK($C59),"",INDEX('Výsledková listina'!PRINT_AREA,MATCH($C59,'Výsledková listina'!$E:$E,0),2))</f>
        <v>Fodor Petr</v>
      </c>
      <c r="E59" s="40">
        <f>IF(ISBLANK($C59),"",INDEX('Výsledková listina'!PRINT_AREA,MATCH($C59,'Výsledková listina'!$E:$E,0),8))</f>
        <v>2480</v>
      </c>
      <c r="F59" s="41">
        <f>IF(ISBLANK($C59),"",INDEX('Výsledková listina'!PRINT_AREA,MATCH($C59,'Výsledková listina'!$E:$E,0),9))</f>
        <v>15</v>
      </c>
      <c r="G59" s="267"/>
      <c r="H59" s="267"/>
      <c r="I59" s="270"/>
      <c r="J59" s="43">
        <f>IF(ISBLANK($C59),"",INDEX('Výsledková listina'!PRINT_AREA,MATCH($C59,'Výsledková listina'!$E:$E,0),12))</f>
        <v>2420</v>
      </c>
      <c r="K59" s="41">
        <f>IF(ISBLANK($C59),"",INDEX('Výsledková listina'!PRINT_AREA,MATCH($C59,'Výsledková listina'!$E:$E,0),13))</f>
        <v>13</v>
      </c>
      <c r="L59" s="267"/>
      <c r="M59" s="267"/>
      <c r="N59" s="270"/>
      <c r="O59" s="273"/>
      <c r="P59" s="255"/>
      <c r="Q59" s="258"/>
      <c r="R59" s="243"/>
    </row>
    <row r="60" spans="1:18" ht="12.75" customHeight="1" thickBot="1">
      <c r="A60" s="259">
        <f>SUM(Q60)</f>
        <v>40</v>
      </c>
      <c r="B60" s="262" t="s">
        <v>201</v>
      </c>
      <c r="C60" s="61">
        <v>4309</v>
      </c>
      <c r="D60" s="62" t="str">
        <f>IF(ISBLANK($C60),"",INDEX('Výsledková listina'!PRINT_AREA,MATCH($C60,'Výsledková listina'!$E:$E,0),2))</f>
        <v>Shershen Volodimír</v>
      </c>
      <c r="E60" s="36">
        <f>IF(ISBLANK($C60),"",INDEX('Výsledková listina'!PRINT_AREA,MATCH($C60,'Výsledková listina'!$E:$E,0),8))</f>
        <v>9850</v>
      </c>
      <c r="F60" s="37">
        <f>IF(ISBLANK($C60),"",INDEX('Výsledková listina'!PRINT_AREA,MATCH($C60,'Výsledková listina'!$E:$E,0),9))</f>
        <v>11</v>
      </c>
      <c r="G60" s="265">
        <f>SUM(E60:E62)</f>
        <v>18150</v>
      </c>
      <c r="H60" s="265">
        <f>SUM(F60:F62)</f>
        <v>35</v>
      </c>
      <c r="I60" s="268">
        <f>RANK(H60,H:H,1)</f>
        <v>38</v>
      </c>
      <c r="J60" s="43">
        <f>IF(ISBLANK($C60),"",INDEX('Výsledková listina'!PRINT_AREA,MATCH($C60,'Výsledková listina'!$E:$E,0),12))</f>
        <v>1610</v>
      </c>
      <c r="K60" s="37">
        <f>IF(ISBLANK($C60),"",INDEX('Výsledková listina'!PRINT_AREA,MATCH($C60,'Výsledková listina'!$E:$E,0),13))</f>
        <v>14</v>
      </c>
      <c r="L60" s="265">
        <f>IF(ISBLANK($B60),"",SUM(J60:J62))</f>
        <v>8230</v>
      </c>
      <c r="M60" s="265">
        <f>IF(ISBLANK($B60),"",SUM(K60:K62))</f>
        <v>38</v>
      </c>
      <c r="N60" s="268">
        <f>IF(ISBLANK($B60),"",RANK(M60,M:M,1))</f>
        <v>39</v>
      </c>
      <c r="O60" s="271">
        <f>IF(ISBLANK($B60),"",SUM(G60,L60))</f>
        <v>26380</v>
      </c>
      <c r="P60" s="253">
        <f>IF(ISBLANK($B60),"",SUM(H60,M60))</f>
        <v>73</v>
      </c>
      <c r="Q60" s="256">
        <f>IF(O60="","",RANK(P60,P:P,1))</f>
        <v>40</v>
      </c>
      <c r="R60" s="241">
        <f>IF(P60="","",RANK(Q60,Q:Q,1))</f>
        <v>40</v>
      </c>
    </row>
    <row r="61" spans="1:18" ht="12.75" customHeight="1" thickBot="1">
      <c r="A61" s="260"/>
      <c r="B61" s="263"/>
      <c r="C61" s="72">
        <v>5775</v>
      </c>
      <c r="D61" s="73" t="str">
        <f>IF(ISBLANK($C61),"",INDEX('Výsledková listina'!PRINT_AREA,MATCH($C61,'Výsledková listina'!$E:$E,0),2))</f>
        <v>Nimko Maryan</v>
      </c>
      <c r="E61" s="38">
        <f>IF(ISBLANK($C61),"",INDEX('Výsledková listina'!PRINT_AREA,MATCH($C61,'Výsledková listina'!$E:$E,0),8))</f>
        <v>3040</v>
      </c>
      <c r="F61" s="39">
        <f>IF(ISBLANK($C61),"",INDEX('Výsledková listina'!PRINT_AREA,MATCH($C61,'Výsledková listina'!$E:$E,0),9))</f>
        <v>13</v>
      </c>
      <c r="G61" s="266"/>
      <c r="H61" s="266"/>
      <c r="I61" s="269"/>
      <c r="J61" s="43">
        <f>IF(ISBLANK($C61),"",INDEX('Výsledková listina'!PRINT_AREA,MATCH($C61,'Výsledková listina'!$E:$E,0),12))</f>
        <v>4680</v>
      </c>
      <c r="K61" s="39">
        <f>IF(ISBLANK($C61),"",INDEX('Výsledková listina'!PRINT_AREA,MATCH($C61,'Výsledková listina'!$E:$E,0),13))</f>
        <v>13</v>
      </c>
      <c r="L61" s="266"/>
      <c r="M61" s="266"/>
      <c r="N61" s="269"/>
      <c r="O61" s="272"/>
      <c r="P61" s="254"/>
      <c r="Q61" s="257"/>
      <c r="R61" s="242"/>
    </row>
    <row r="62" spans="1:18" ht="13.5" customHeight="1" thickBot="1">
      <c r="A62" s="261"/>
      <c r="B62" s="264"/>
      <c r="C62" s="65">
        <v>6664</v>
      </c>
      <c r="D62" s="66" t="str">
        <f>IF(ISBLANK($C62),"",INDEX('Výsledková listina'!PRINT_AREA,MATCH($C62,'Výsledková listina'!$E:$E,0),2))</f>
        <v>Burak Oleg</v>
      </c>
      <c r="E62" s="43">
        <f>IF(ISBLANK($C62),"",INDEX('Výsledková listina'!PRINT_AREA,MATCH($C62,'Výsledková listina'!$E:$E,0),8))</f>
        <v>5260</v>
      </c>
      <c r="F62" s="44">
        <f>IF(ISBLANK($C62),"",INDEX('Výsledková listina'!PRINT_AREA,MATCH($C62,'Výsledková listina'!$E:$E,0),9))</f>
        <v>11</v>
      </c>
      <c r="G62" s="267"/>
      <c r="H62" s="267"/>
      <c r="I62" s="270"/>
      <c r="J62" s="43">
        <f>IF(ISBLANK($C62),"",INDEX('Výsledková listina'!PRINT_AREA,MATCH($C62,'Výsledková listina'!$E:$E,0),12))</f>
        <v>1940</v>
      </c>
      <c r="K62" s="44">
        <f>IF(ISBLANK($C62),"",INDEX('Výsledková listina'!PRINT_AREA,MATCH($C62,'Výsledková listina'!$E:$E,0),13))</f>
        <v>11</v>
      </c>
      <c r="L62" s="267"/>
      <c r="M62" s="267"/>
      <c r="N62" s="270"/>
      <c r="O62" s="273"/>
      <c r="P62" s="255"/>
      <c r="Q62" s="258"/>
      <c r="R62" s="243"/>
    </row>
    <row r="63" spans="1:18" ht="12.75" customHeight="1" thickBot="1">
      <c r="A63" s="259">
        <f>SUM(Q63)</f>
        <v>42</v>
      </c>
      <c r="B63" s="262" t="s">
        <v>202</v>
      </c>
      <c r="C63" s="67">
        <v>6429</v>
      </c>
      <c r="D63" s="62" t="str">
        <f>IF(ISBLANK($C63),"",INDEX('Výsledková listina'!PRINT_AREA,MATCH($C63,'Výsledková listina'!$E:$E,0),2))</f>
        <v>Brzobohatý Jan</v>
      </c>
      <c r="E63" s="36">
        <f>IF(ISBLANK($C63),"",INDEX('Výsledková listina'!PRINT_AREA,MATCH($C63,'Výsledková listina'!$E:$E,0),8))</f>
        <v>1060</v>
      </c>
      <c r="F63" s="37">
        <f>IF(ISBLANK($C63),"",INDEX('Výsledková listina'!PRINT_AREA,MATCH($C63,'Výsledková listina'!$E:$E,0),9))</f>
        <v>14</v>
      </c>
      <c r="G63" s="265">
        <f>SUM(E63:E65)</f>
        <v>7320</v>
      </c>
      <c r="H63" s="265">
        <f>SUM(F63:F65)</f>
        <v>40</v>
      </c>
      <c r="I63" s="268">
        <f>RANK(H63,H:H,1)</f>
        <v>42</v>
      </c>
      <c r="J63" s="43">
        <f>IF(ISBLANK($C63),"",INDEX('Výsledková listina'!PRINT_AREA,MATCH($C63,'Výsledková listina'!$E:$E,0),12))</f>
        <v>4060</v>
      </c>
      <c r="K63" s="37">
        <f>IF(ISBLANK($C63),"",INDEX('Výsledková listina'!PRINT_AREA,MATCH($C63,'Výsledková listina'!$E:$E,0),13))</f>
        <v>12</v>
      </c>
      <c r="L63" s="265">
        <f>IF(ISBLANK($B63),"",SUM(J63:J65))</f>
        <v>12550</v>
      </c>
      <c r="M63" s="265">
        <f>IF(ISBLANK($B63),"",SUM(K63:K65))</f>
        <v>39</v>
      </c>
      <c r="N63" s="268">
        <f>IF(ISBLANK($B63),"",RANK(M63,M:M,1))</f>
        <v>41</v>
      </c>
      <c r="O63" s="271">
        <f>IF(ISBLANK($B63),"",SUM(G63,L63))</f>
        <v>19870</v>
      </c>
      <c r="P63" s="253">
        <f>IF(ISBLANK($B63),"",SUM(H63,M63))</f>
        <v>79</v>
      </c>
      <c r="Q63" s="256">
        <f>IF(O63="","",RANK(P63,P:P,1))</f>
        <v>42</v>
      </c>
      <c r="R63" s="241">
        <f>IF(P63="","",RANK(Q63,Q:Q,1))</f>
        <v>42</v>
      </c>
    </row>
    <row r="64" spans="1:18" ht="12.75" customHeight="1" thickBot="1">
      <c r="A64" s="260"/>
      <c r="B64" s="263"/>
      <c r="C64" s="68">
        <v>6430</v>
      </c>
      <c r="D64" s="64" t="str">
        <f>IF(ISBLANK($C64),"",INDEX('Výsledková listina'!PRINT_AREA,MATCH($C64,'Výsledková listina'!$E:$E,0),2))</f>
        <v>Hofta Jiří</v>
      </c>
      <c r="E64" s="38">
        <f>IF(ISBLANK($C64),"",INDEX('Výsledková listina'!PRINT_AREA,MATCH($C64,'Výsledková listina'!$E:$E,0),8))</f>
        <v>4650</v>
      </c>
      <c r="F64" s="39">
        <f>IF(ISBLANK($C64),"",INDEX('Výsledková listina'!PRINT_AREA,MATCH($C64,'Výsledková listina'!$E:$E,0),9))</f>
        <v>11</v>
      </c>
      <c r="G64" s="266"/>
      <c r="H64" s="266"/>
      <c r="I64" s="269"/>
      <c r="J64" s="43">
        <f>IF(ISBLANK($C64),"",INDEX('Výsledková listina'!PRINT_AREA,MATCH($C64,'Výsledková listina'!$E:$E,0),12))</f>
        <v>7270</v>
      </c>
      <c r="K64" s="39">
        <f>IF(ISBLANK($C64),"",INDEX('Výsledková listina'!PRINT_AREA,MATCH($C64,'Výsledková listina'!$E:$E,0),13))</f>
        <v>13</v>
      </c>
      <c r="L64" s="266"/>
      <c r="M64" s="266"/>
      <c r="N64" s="269"/>
      <c r="O64" s="272"/>
      <c r="P64" s="254"/>
      <c r="Q64" s="257"/>
      <c r="R64" s="242"/>
    </row>
    <row r="65" spans="1:18" ht="13.5" customHeight="1" thickBot="1">
      <c r="A65" s="261"/>
      <c r="B65" s="264"/>
      <c r="C65" s="69">
        <v>4302</v>
      </c>
      <c r="D65" s="70" t="str">
        <f>IF(ISBLANK($C65),"",INDEX('Výsledková listina'!PRINT_AREA,MATCH($C65,'Výsledková listina'!$E:$E,0),2))</f>
        <v>Špitálská Aneta</v>
      </c>
      <c r="E65" s="40">
        <f>IF(ISBLANK($C65),"",INDEX('Výsledková listina'!PRINT_AREA,MATCH($C65,'Výsledková listina'!$E:$E,0),8))</f>
        <v>1610</v>
      </c>
      <c r="F65" s="39">
        <f>IF(ISBLANK($C65),"",INDEX('Výsledková listina'!PRINT_AREA,MATCH($C65,'Výsledková listina'!$E:$E,0),9))</f>
        <v>15</v>
      </c>
      <c r="G65" s="267"/>
      <c r="H65" s="267"/>
      <c r="I65" s="270"/>
      <c r="J65" s="43">
        <f>IF(ISBLANK($C65),"",INDEX('Výsledková listina'!PRINT_AREA,MATCH($C65,'Výsledková listina'!$E:$E,0),12))</f>
        <v>1220</v>
      </c>
      <c r="K65" s="41">
        <f>IF(ISBLANK($C65),"",INDEX('Výsledková listina'!PRINT_AREA,MATCH($C65,'Výsledková listina'!$E:$E,0),13))</f>
        <v>14</v>
      </c>
      <c r="L65" s="267"/>
      <c r="M65" s="267"/>
      <c r="N65" s="270"/>
      <c r="O65" s="273"/>
      <c r="P65" s="255"/>
      <c r="Q65" s="258"/>
      <c r="R65" s="243"/>
    </row>
    <row r="66" spans="1:18" ht="12.75" customHeight="1" thickBot="1">
      <c r="A66" s="259">
        <f>SUM(Q66)</f>
        <v>41</v>
      </c>
      <c r="B66" s="262" t="s">
        <v>210</v>
      </c>
      <c r="C66" s="61">
        <v>2263</v>
      </c>
      <c r="D66" s="62" t="str">
        <f>IF(ISBLANK($C66),"",INDEX('Výsledková listina'!PRINT_AREA,MATCH($C66,'Výsledková listina'!$E:$E,0),2))</f>
        <v>Kabourek Václav</v>
      </c>
      <c r="E66" s="36">
        <f>IF(ISBLANK($C66),"",INDEX('Výsledková listina'!PRINT_AREA,MATCH($C66,'Výsledková listina'!$E:$E,0),8))</f>
        <v>7055</v>
      </c>
      <c r="F66" s="37">
        <f>IF(ISBLANK($C66),"",INDEX('Výsledková listina'!PRINT_AREA,MATCH($C66,'Výsledková listina'!$E:$E,0),9))</f>
        <v>10</v>
      </c>
      <c r="G66" s="265">
        <f>SUM(E66:E68)</f>
        <v>19155</v>
      </c>
      <c r="H66" s="265">
        <f>SUM(F66:F68)</f>
        <v>37</v>
      </c>
      <c r="I66" s="268">
        <f>RANK(H66,H:H,1)</f>
        <v>40</v>
      </c>
      <c r="J66" s="43">
        <f>IF(ISBLANK($C66),"",INDEX('Výsledková listina'!PRINT_AREA,MATCH($C66,'Výsledková listina'!$E:$E,0),12))</f>
        <v>12390</v>
      </c>
      <c r="K66" s="37">
        <f>IF(ISBLANK($C66),"",INDEX('Výsledková listina'!PRINT_AREA,MATCH($C66,'Výsledková listina'!$E:$E,0),13))</f>
        <v>8</v>
      </c>
      <c r="L66" s="265">
        <f>IF(ISBLANK($B66),"",SUM(J66:J68))</f>
        <v>14670</v>
      </c>
      <c r="M66" s="265">
        <f>IF(ISBLANK($B66),"",SUM(K66:K68))</f>
        <v>38</v>
      </c>
      <c r="N66" s="268">
        <f>IF(ISBLANK($B66),"",RANK(M66,M:M,1))</f>
        <v>39</v>
      </c>
      <c r="O66" s="271">
        <f>IF(ISBLANK($B66),"",SUM(G66,L66))</f>
        <v>33825</v>
      </c>
      <c r="P66" s="253">
        <f>IF(ISBLANK($B66),"",SUM(H66,M66))</f>
        <v>75</v>
      </c>
      <c r="Q66" s="256">
        <f>IF(O66="","",RANK(P66,P:P,1))</f>
        <v>41</v>
      </c>
      <c r="R66" s="241">
        <f>IF(P66="","",RANK(Q66,Q:Q,1))</f>
        <v>41</v>
      </c>
    </row>
    <row r="67" spans="1:18" ht="12.75" customHeight="1" thickBot="1">
      <c r="A67" s="260"/>
      <c r="B67" s="263"/>
      <c r="C67" s="63">
        <v>2529</v>
      </c>
      <c r="D67" s="64" t="str">
        <f>IF(ISBLANK($C67),"",INDEX('Výsledková listina'!PRINT_AREA,MATCH($C67,'Výsledková listina'!$E:$E,0),2))</f>
        <v>Řehoř Michal</v>
      </c>
      <c r="E67" s="38">
        <f>IF(ISBLANK($C67),"",INDEX('Výsledková listina'!PRINT_AREA,MATCH($C67,'Výsledková listina'!$E:$E,0),8))</f>
        <v>4080</v>
      </c>
      <c r="F67" s="39">
        <f>IF(ISBLANK($C67),"",INDEX('Výsledková listina'!PRINT_AREA,MATCH($C67,'Výsledková listina'!$E:$E,0),9))</f>
        <v>13</v>
      </c>
      <c r="G67" s="266"/>
      <c r="H67" s="266"/>
      <c r="I67" s="269"/>
      <c r="J67" s="43">
        <f>IF(ISBLANK($C67),"",INDEX('Výsledková listina'!PRINT_AREA,MATCH($C67,'Výsledková listina'!$E:$E,0),12))</f>
        <v>520</v>
      </c>
      <c r="K67" s="39">
        <f>IF(ISBLANK($C67),"",INDEX('Výsledková listina'!PRINT_AREA,MATCH($C67,'Výsledková listina'!$E:$E,0),13))</f>
        <v>15</v>
      </c>
      <c r="L67" s="266"/>
      <c r="M67" s="266"/>
      <c r="N67" s="269"/>
      <c r="O67" s="272"/>
      <c r="P67" s="254"/>
      <c r="Q67" s="257"/>
      <c r="R67" s="242"/>
    </row>
    <row r="68" spans="1:18" ht="13.5" customHeight="1" thickBot="1">
      <c r="A68" s="261"/>
      <c r="B68" s="264"/>
      <c r="C68" s="65">
        <v>3435</v>
      </c>
      <c r="D68" s="66" t="str">
        <f>IF(ISBLANK($C68),"",INDEX('Výsledková listina'!PRINT_AREA,MATCH($C68,'Výsledková listina'!$E:$E,0),2))</f>
        <v>Kodad Daniel</v>
      </c>
      <c r="E68" s="43">
        <f>IF(ISBLANK($C68),"",INDEX('Výsledková listina'!PRINT_AREA,MATCH($C68,'Výsledková listina'!$E:$E,0),8))</f>
        <v>8020</v>
      </c>
      <c r="F68" s="44">
        <f>IF(ISBLANK($C68),"",INDEX('Výsledková listina'!PRINT_AREA,MATCH($C68,'Výsledková listina'!$E:$E,0),9))</f>
        <v>14</v>
      </c>
      <c r="G68" s="267"/>
      <c r="H68" s="267"/>
      <c r="I68" s="270"/>
      <c r="J68" s="43">
        <f>IF(ISBLANK($C68),"",INDEX('Výsledková listina'!PRINT_AREA,MATCH($C68,'Výsledková listina'!$E:$E,0),12))</f>
        <v>1760</v>
      </c>
      <c r="K68" s="44">
        <f>IF(ISBLANK($C68),"",INDEX('Výsledková listina'!PRINT_AREA,MATCH($C68,'Výsledková listina'!$E:$E,0),13))</f>
        <v>15</v>
      </c>
      <c r="L68" s="267"/>
      <c r="M68" s="267"/>
      <c r="N68" s="270"/>
      <c r="O68" s="273"/>
      <c r="P68" s="255"/>
      <c r="Q68" s="258"/>
      <c r="R68" s="243"/>
    </row>
    <row r="69" spans="1:18" ht="12.75" customHeight="1" thickBot="1">
      <c r="A69" s="259">
        <f>SUM(Q69)</f>
        <v>12</v>
      </c>
      <c r="B69" s="262" t="s">
        <v>215</v>
      </c>
      <c r="C69" s="61">
        <v>3424</v>
      </c>
      <c r="D69" s="62" t="str">
        <f>IF(ISBLANK($C69),"",INDEX('Výsledková listina'!PRINT_AREA,MATCH($C69,'Výsledková listina'!$E:$E,0),2))</f>
        <v>Vrtěl Petr</v>
      </c>
      <c r="E69" s="36">
        <f>IF(ISBLANK($C69),"",INDEX('Výsledková listina'!PRINT_AREA,MATCH($C69,'Výsledková listina'!$E:$E,0),8))</f>
        <v>12555</v>
      </c>
      <c r="F69" s="37">
        <f>IF(ISBLANK($C69),"",INDEX('Výsledková listina'!PRINT_AREA,MATCH($C69,'Výsledková listina'!$E:$E,0),9))</f>
        <v>2</v>
      </c>
      <c r="G69" s="265">
        <f>SUM(E69:E71)</f>
        <v>44945</v>
      </c>
      <c r="H69" s="265">
        <f>SUM(F69:F71)</f>
        <v>11</v>
      </c>
      <c r="I69" s="268">
        <f>RANK(H69,H:H,1)</f>
        <v>4</v>
      </c>
      <c r="J69" s="43">
        <f>IF(ISBLANK($C69),"",INDEX('Výsledková listina'!PRINT_AREA,MATCH($C69,'Výsledková listina'!$E:$E,0),12))</f>
        <v>10600</v>
      </c>
      <c r="K69" s="37">
        <f>IF(ISBLANK($C69),"",INDEX('Výsledková listina'!PRINT_AREA,MATCH($C69,'Výsledková listina'!$E:$E,0),13))</f>
        <v>9</v>
      </c>
      <c r="L69" s="265">
        <f>IF(ISBLANK($B69),"",SUM(J69:J71))</f>
        <v>19200</v>
      </c>
      <c r="M69" s="265">
        <f>IF(ISBLANK($B69),"",SUM(K69:K71))</f>
        <v>23</v>
      </c>
      <c r="N69" s="268">
        <f>IF(ISBLANK($B69),"",RANK(M69,M:M,1))</f>
        <v>21</v>
      </c>
      <c r="O69" s="271">
        <f>IF(ISBLANK($B69),"",SUM(G69,L69))</f>
        <v>64145</v>
      </c>
      <c r="P69" s="253">
        <f>IF(ISBLANK($B69),"",SUM(H69,M69))</f>
        <v>34</v>
      </c>
      <c r="Q69" s="256">
        <f>IF(O69="","",RANK(P69,P:P,1))</f>
        <v>12</v>
      </c>
      <c r="R69" s="241">
        <f>IF(P69="","",RANK(Q69,Q:Q,1))</f>
        <v>12</v>
      </c>
    </row>
    <row r="70" spans="1:18" ht="12.75" customHeight="1" thickBot="1">
      <c r="A70" s="260"/>
      <c r="B70" s="263"/>
      <c r="C70" s="63">
        <v>5390</v>
      </c>
      <c r="D70" s="64" t="str">
        <f>IF(ISBLANK($C70),"",INDEX('Výsledková listina'!PRINT_AREA,MATCH($C70,'Výsledková listina'!$E:$E,0),2))</f>
        <v>Vrtěl Ondřej</v>
      </c>
      <c r="E70" s="38">
        <f>IF(ISBLANK($C70),"",INDEX('Výsledková listina'!PRINT_AREA,MATCH($C70,'Výsledková listina'!$E:$E,0),8))</f>
        <v>22350</v>
      </c>
      <c r="F70" s="39">
        <f>IF(ISBLANK($C70),"",INDEX('Výsledková listina'!PRINT_AREA,MATCH($C70,'Výsledková listina'!$E:$E,0),9))</f>
        <v>1</v>
      </c>
      <c r="G70" s="266"/>
      <c r="H70" s="266"/>
      <c r="I70" s="269"/>
      <c r="J70" s="43">
        <f>IF(ISBLANK($C70),"",INDEX('Výsledková listina'!PRINT_AREA,MATCH($C70,'Výsledková listina'!$E:$E,0),12))</f>
        <v>3600</v>
      </c>
      <c r="K70" s="39">
        <f>IF(ISBLANK($C70),"",INDEX('Výsledková listina'!PRINT_AREA,MATCH($C70,'Výsledková listina'!$E:$E,0),13))</f>
        <v>10</v>
      </c>
      <c r="L70" s="266"/>
      <c r="M70" s="266"/>
      <c r="N70" s="269"/>
      <c r="O70" s="272"/>
      <c r="P70" s="254"/>
      <c r="Q70" s="257"/>
      <c r="R70" s="242"/>
    </row>
    <row r="71" spans="1:18" ht="13.5" customHeight="1" thickBot="1">
      <c r="A71" s="261"/>
      <c r="B71" s="264"/>
      <c r="C71" s="71">
        <v>3422</v>
      </c>
      <c r="D71" s="70" t="str">
        <f>IF(ISBLANK($C71),"",INDEX('Výsledková listina'!PRINT_AREA,MATCH($C71,'Výsledková listina'!$E:$E,0),2))</f>
        <v>Ondrušek Roman</v>
      </c>
      <c r="E71" s="40">
        <f>IF(ISBLANK($C71),"",INDEX('Výsledková listina'!PRINT_AREA,MATCH($C71,'Výsledková listina'!$E:$E,0),8))</f>
        <v>10040</v>
      </c>
      <c r="F71" s="41">
        <f>IF(ISBLANK($C71),"",INDEX('Výsledková listina'!PRINT_AREA,MATCH($C71,'Výsledková listina'!$E:$E,0),9))</f>
        <v>8</v>
      </c>
      <c r="G71" s="267"/>
      <c r="H71" s="267"/>
      <c r="I71" s="270"/>
      <c r="J71" s="43">
        <f>IF(ISBLANK($C71),"",INDEX('Výsledková listina'!PRINT_AREA,MATCH($C71,'Výsledková listina'!$E:$E,0),12))</f>
        <v>5000</v>
      </c>
      <c r="K71" s="41">
        <f>IF(ISBLANK($C71),"",INDEX('Výsledková listina'!PRINT_AREA,MATCH($C71,'Výsledková listina'!$E:$E,0),13))</f>
        <v>4</v>
      </c>
      <c r="L71" s="267"/>
      <c r="M71" s="267"/>
      <c r="N71" s="270"/>
      <c r="O71" s="273"/>
      <c r="P71" s="255"/>
      <c r="Q71" s="258"/>
      <c r="R71" s="243"/>
    </row>
    <row r="72" spans="1:18" ht="12.75" customHeight="1" thickBot="1">
      <c r="A72" s="259">
        <f>SUM(Q72)</f>
        <v>30</v>
      </c>
      <c r="B72" s="262" t="s">
        <v>315</v>
      </c>
      <c r="C72" s="61">
        <v>5870</v>
      </c>
      <c r="D72" s="62" t="str">
        <f>IF(ISBLANK($C72),"",INDEX('Výsledková listina'!PRINT_AREA,MATCH($C72,'Výsledková listina'!$E:$E,0),2))</f>
        <v>Vacek Jan</v>
      </c>
      <c r="E72" s="36">
        <f>IF(ISBLANK($C72),"",INDEX('Výsledková listina'!PRINT_AREA,MATCH($C72,'Výsledková listina'!$E:$E,0),8))</f>
        <v>2510</v>
      </c>
      <c r="F72" s="37">
        <f>IF(ISBLANK($C72),"",INDEX('Výsledková listina'!PRINT_AREA,MATCH($C72,'Výsledková listina'!$E:$E,0),9))</f>
        <v>12</v>
      </c>
      <c r="G72" s="265">
        <f>SUM(E72:E74)</f>
        <v>14530</v>
      </c>
      <c r="H72" s="265">
        <f>SUM(F72:F74)</f>
        <v>36</v>
      </c>
      <c r="I72" s="268">
        <f>RANK(H72,H:H,1)</f>
        <v>39</v>
      </c>
      <c r="J72" s="43">
        <f>IF(ISBLANK($C72),"",INDEX('Výsledková listina'!PRINT_AREA,MATCH($C72,'Výsledková listina'!$E:$E,0),12))</f>
        <v>9120</v>
      </c>
      <c r="K72" s="37">
        <f>IF(ISBLANK($C72),"",INDEX('Výsledková listina'!PRINT_AREA,MATCH($C72,'Výsledková listina'!$E:$E,0),13))</f>
        <v>7</v>
      </c>
      <c r="L72" s="265">
        <f>IF(ISBLANK($B72),"",SUM(J72:J74))</f>
        <v>33630</v>
      </c>
      <c r="M72" s="265">
        <f>IF(ISBLANK($B72),"",SUM(K72:K74))</f>
        <v>22</v>
      </c>
      <c r="N72" s="268">
        <f>IF(ISBLANK($B72),"",RANK(M72,M:M,1))</f>
        <v>20</v>
      </c>
      <c r="O72" s="271">
        <f>IF(ISBLANK($B72),"",SUM(G72,L72))</f>
        <v>48160</v>
      </c>
      <c r="P72" s="253">
        <f>IF(ISBLANK($B72),"",SUM(H72,M72))</f>
        <v>58</v>
      </c>
      <c r="Q72" s="256">
        <f>IF(O72="","",RANK(P72,P:P,1))</f>
        <v>30</v>
      </c>
      <c r="R72" s="241">
        <f>IF(P72="","",RANK(Q72,Q:Q,1))</f>
        <v>30</v>
      </c>
    </row>
    <row r="73" spans="1:18" ht="12.75" customHeight="1" thickBot="1">
      <c r="A73" s="260"/>
      <c r="B73" s="263"/>
      <c r="C73" s="63">
        <v>6931</v>
      </c>
      <c r="D73" s="64" t="str">
        <f>IF(ISBLANK($C73),"",INDEX('Výsledková listina'!PRINT_AREA,MATCH($C73,'Výsledková listina'!$E:$E,0),2))</f>
        <v>Pecka Zdeněk</v>
      </c>
      <c r="E73" s="38">
        <f>IF(ISBLANK($C73),"",INDEX('Výsledková listina'!PRINT_AREA,MATCH($C73,'Výsledková listina'!$E:$E,0),8))</f>
        <v>7930</v>
      </c>
      <c r="F73" s="39">
        <f>IF(ISBLANK($C73),"",INDEX('Výsledková listina'!PRINT_AREA,MATCH($C73,'Výsledková listina'!$E:$E,0),9))</f>
        <v>11</v>
      </c>
      <c r="G73" s="266"/>
      <c r="H73" s="266"/>
      <c r="I73" s="269"/>
      <c r="J73" s="43">
        <f>IF(ISBLANK($C73),"",INDEX('Výsledková listina'!PRINT_AREA,MATCH($C73,'Výsledková listina'!$E:$E,0),12))</f>
        <v>19060</v>
      </c>
      <c r="K73" s="39">
        <f>IF(ISBLANK($C73),"",INDEX('Výsledková listina'!PRINT_AREA,MATCH($C73,'Výsledková listina'!$E:$E,0),13))</f>
        <v>3</v>
      </c>
      <c r="L73" s="266"/>
      <c r="M73" s="266"/>
      <c r="N73" s="269"/>
      <c r="O73" s="272"/>
      <c r="P73" s="254"/>
      <c r="Q73" s="257"/>
      <c r="R73" s="242"/>
    </row>
    <row r="74" spans="1:18" ht="13.5" customHeight="1" thickBot="1">
      <c r="A74" s="261"/>
      <c r="B74" s="264"/>
      <c r="C74" s="71">
        <v>6932</v>
      </c>
      <c r="D74" s="70" t="str">
        <f>IF(ISBLANK($C74),"",INDEX('Výsledková listina'!PRINT_AREA,MATCH($C74,'Výsledková listina'!$E:$E,0),2))</f>
        <v>Řípa Aleš</v>
      </c>
      <c r="E74" s="40">
        <f>IF(ISBLANK($C74),"",INDEX('Výsledková listina'!PRINT_AREA,MATCH($C74,'Výsledková listina'!$E:$E,0),8))</f>
        <v>4090</v>
      </c>
      <c r="F74" s="41">
        <f>IF(ISBLANK($C74),"",INDEX('Výsledková listina'!PRINT_AREA,MATCH($C74,'Výsledková listina'!$E:$E,0),9))</f>
        <v>13</v>
      </c>
      <c r="G74" s="267"/>
      <c r="H74" s="267"/>
      <c r="I74" s="270"/>
      <c r="J74" s="43">
        <f>IF(ISBLANK($C74),"",INDEX('Výsledková listina'!PRINT_AREA,MATCH($C74,'Výsledková listina'!$E:$E,0),12))</f>
        <v>5450</v>
      </c>
      <c r="K74" s="41">
        <f>IF(ISBLANK($C74),"",INDEX('Výsledková listina'!PRINT_AREA,MATCH($C74,'Výsledková listina'!$E:$E,0),13))</f>
        <v>12</v>
      </c>
      <c r="L74" s="267"/>
      <c r="M74" s="267"/>
      <c r="N74" s="270"/>
      <c r="O74" s="273"/>
      <c r="P74" s="255"/>
      <c r="Q74" s="258"/>
      <c r="R74" s="243"/>
    </row>
    <row r="75" spans="1:18" ht="13.5" customHeight="1" thickBot="1">
      <c r="A75" s="259">
        <f>SUM(Q75)</f>
        <v>38</v>
      </c>
      <c r="B75" s="262" t="s">
        <v>223</v>
      </c>
      <c r="C75" s="61">
        <v>3801</v>
      </c>
      <c r="D75" s="62" t="str">
        <f>IF(ISBLANK($C75),"",INDEX('Výsledková listina'!PRINT_AREA,MATCH($C75,'Výsledková listina'!$E:$E,0),2))</f>
        <v>Fedas Ondřej</v>
      </c>
      <c r="E75" s="36">
        <f>IF(ISBLANK($C75),"",INDEX('Výsledková listina'!PRINT_AREA,MATCH($C75,'Výsledková listina'!$E:$E,0),8))</f>
        <v>8480</v>
      </c>
      <c r="F75" s="37">
        <f>IF(ISBLANK($C75),"",INDEX('Výsledková listina'!PRINT_AREA,MATCH($C75,'Výsledková listina'!$E:$E,0),9))</f>
        <v>10</v>
      </c>
      <c r="G75" s="265">
        <f>SUM(E75:E77)</f>
        <v>19130</v>
      </c>
      <c r="H75" s="265">
        <f>SUM(F75:F77)</f>
        <v>34.5</v>
      </c>
      <c r="I75" s="268">
        <f>RANK(H75,H:H,1)</f>
        <v>37</v>
      </c>
      <c r="J75" s="43">
        <f>IF(ISBLANK($C75),"",INDEX('Výsledková listina'!PRINT_AREA,MATCH($C75,'Výsledková listina'!$E:$E,0),12))</f>
        <v>4300</v>
      </c>
      <c r="K75" s="37">
        <f>IF(ISBLANK($C75),"",INDEX('Výsledková listina'!PRINT_AREA,MATCH($C75,'Výsledková listina'!$E:$E,0),13))</f>
        <v>8</v>
      </c>
      <c r="L75" s="265">
        <f>IF(ISBLANK($B75),"",SUM(J75:J77))</f>
        <v>8320</v>
      </c>
      <c r="M75" s="265">
        <f>IF(ISBLANK($B75),"",SUM(K75:K77))</f>
        <v>37</v>
      </c>
      <c r="N75" s="268">
        <f>IF(ISBLANK($B75),"",RANK(M75,M:M,1))</f>
        <v>38</v>
      </c>
      <c r="O75" s="271">
        <f>IF(ISBLANK($B75),"",SUM(G75,L75))</f>
        <v>27450</v>
      </c>
      <c r="P75" s="253">
        <f>IF(ISBLANK($B75),"",SUM(H75,M75))</f>
        <v>71.5</v>
      </c>
      <c r="Q75" s="256">
        <f>IF(O75="","",RANK(P75,P:P,1))</f>
        <v>38</v>
      </c>
      <c r="R75" s="241">
        <f>IF(P75="","",RANK(Q75,Q:Q,1))</f>
        <v>38</v>
      </c>
    </row>
    <row r="76" spans="1:18" ht="13.5" customHeight="1" thickBot="1">
      <c r="A76" s="260"/>
      <c r="B76" s="263"/>
      <c r="C76" s="63">
        <v>3802</v>
      </c>
      <c r="D76" s="64" t="str">
        <f>IF(ISBLANK($C76),"",INDEX('Výsledková listina'!PRINT_AREA,MATCH($C76,'Výsledková listina'!$E:$E,0),2))</f>
        <v>Fedas Michal</v>
      </c>
      <c r="E76" s="38">
        <f>IF(ISBLANK($C76),"",INDEX('Výsledková listina'!PRINT_AREA,MATCH($C76,'Výsledková listina'!$E:$E,0),8))</f>
        <v>7280</v>
      </c>
      <c r="F76" s="39">
        <f>IF(ISBLANK($C76),"",INDEX('Výsledková listina'!PRINT_AREA,MATCH($C76,'Výsledková listina'!$E:$E,0),9))</f>
        <v>10.5</v>
      </c>
      <c r="G76" s="266"/>
      <c r="H76" s="266"/>
      <c r="I76" s="269"/>
      <c r="J76" s="43">
        <f>IF(ISBLANK($C76),"",INDEX('Výsledková listina'!PRINT_AREA,MATCH($C76,'Výsledková listina'!$E:$E,0),12))</f>
        <v>2110</v>
      </c>
      <c r="K76" s="39">
        <f>IF(ISBLANK($C76),"",INDEX('Výsledková listina'!PRINT_AREA,MATCH($C76,'Výsledková listina'!$E:$E,0),13))</f>
        <v>15</v>
      </c>
      <c r="L76" s="266"/>
      <c r="M76" s="266"/>
      <c r="N76" s="269"/>
      <c r="O76" s="272"/>
      <c r="P76" s="254"/>
      <c r="Q76" s="257"/>
      <c r="R76" s="242"/>
    </row>
    <row r="77" spans="1:18" ht="13.5" customHeight="1" thickBot="1">
      <c r="A77" s="261"/>
      <c r="B77" s="264"/>
      <c r="C77" s="71">
        <v>3822</v>
      </c>
      <c r="D77" s="70" t="str">
        <f>IF(ISBLANK($C77),"",INDEX('Výsledková listina'!PRINT_AREA,MATCH($C77,'Výsledková listina'!$E:$E,0),2))</f>
        <v>Svitek Ferdinand</v>
      </c>
      <c r="E77" s="40">
        <f>IF(ISBLANK($C77),"",INDEX('Výsledková listina'!PRINT_AREA,MATCH($C77,'Výsledková listina'!$E:$E,0),8))</f>
        <v>3370</v>
      </c>
      <c r="F77" s="41">
        <f>IF(ISBLANK($C77),"",INDEX('Výsledková listina'!PRINT_AREA,MATCH($C77,'Výsledková listina'!$E:$E,0),9))</f>
        <v>14</v>
      </c>
      <c r="G77" s="267"/>
      <c r="H77" s="267"/>
      <c r="I77" s="270"/>
      <c r="J77" s="43">
        <f>IF(ISBLANK($C77),"",INDEX('Výsledková listina'!PRINT_AREA,MATCH($C77,'Výsledková listina'!$E:$E,0),12))</f>
        <v>1910</v>
      </c>
      <c r="K77" s="41">
        <f>IF(ISBLANK($C77),"",INDEX('Výsledková listina'!PRINT_AREA,MATCH($C77,'Výsledková listina'!$E:$E,0),13))</f>
        <v>14</v>
      </c>
      <c r="L77" s="267"/>
      <c r="M77" s="267"/>
      <c r="N77" s="270"/>
      <c r="O77" s="273"/>
      <c r="P77" s="255"/>
      <c r="Q77" s="258"/>
      <c r="R77" s="243"/>
    </row>
    <row r="78" spans="1:18" ht="13.5" customHeight="1" thickBot="1">
      <c r="A78" s="259">
        <f>SUM(Q78)</f>
        <v>26</v>
      </c>
      <c r="B78" s="262" t="s">
        <v>229</v>
      </c>
      <c r="C78" s="61">
        <v>4075</v>
      </c>
      <c r="D78" s="62" t="str">
        <f>IF(ISBLANK($C78),"",INDEX('Výsledková listina'!PRINT_AREA,MATCH($C78,'Výsledková listina'!$E:$E,0),2))</f>
        <v>Řezáč Jan st.</v>
      </c>
      <c r="E78" s="36">
        <f>IF(ISBLANK($C78),"",INDEX('Výsledková listina'!PRINT_AREA,MATCH($C78,'Výsledková listina'!$E:$E,0),8))</f>
        <v>5710</v>
      </c>
      <c r="F78" s="37">
        <f>IF(ISBLANK($C78),"",INDEX('Výsledková listina'!PRINT_AREA,MATCH($C78,'Výsledková listina'!$E:$E,0),9))</f>
        <v>9</v>
      </c>
      <c r="G78" s="265">
        <f>SUM(E78:E80)</f>
        <v>21770</v>
      </c>
      <c r="H78" s="265">
        <f>SUM(F78:F80)</f>
        <v>27</v>
      </c>
      <c r="I78" s="268">
        <f>RANK(H78,H:H,1)</f>
        <v>25</v>
      </c>
      <c r="J78" s="43">
        <f>IF(ISBLANK($C78),"",INDEX('Výsledková listina'!PRINT_AREA,MATCH($C78,'Výsledková listina'!$E:$E,0),12))</f>
        <v>13080</v>
      </c>
      <c r="K78" s="37">
        <f>IF(ISBLANK($C78),"",INDEX('Výsledková listina'!PRINT_AREA,MATCH($C78,'Výsledková listina'!$E:$E,0),13))</f>
        <v>5</v>
      </c>
      <c r="L78" s="265">
        <f>IF(ISBLANK($B78),"",SUM(J78:J80))</f>
        <v>17960</v>
      </c>
      <c r="M78" s="265">
        <f>IF(ISBLANK($B78),"",SUM(K78:K80))</f>
        <v>28</v>
      </c>
      <c r="N78" s="268">
        <f>IF(ISBLANK($B78),"",RANK(M78,M:M,1))</f>
        <v>29</v>
      </c>
      <c r="O78" s="271">
        <f>IF(ISBLANK($B78),"",SUM(G78,L78))</f>
        <v>39730</v>
      </c>
      <c r="P78" s="253">
        <f>IF(ISBLANK($B78),"",SUM(H78,M78))</f>
        <v>55</v>
      </c>
      <c r="Q78" s="256">
        <f>IF(O78="","",RANK(P78,P:P,1))</f>
        <v>26</v>
      </c>
      <c r="R78" s="241">
        <f>IF(P78="","",RANK(Q78,Q:Q,1))</f>
        <v>26</v>
      </c>
    </row>
    <row r="79" spans="1:18" ht="13.5" customHeight="1" thickBot="1">
      <c r="A79" s="260"/>
      <c r="B79" s="263"/>
      <c r="C79" s="63">
        <v>4076</v>
      </c>
      <c r="D79" s="64" t="str">
        <f>IF(ISBLANK($C79),"",INDEX('Výsledková listina'!PRINT_AREA,MATCH($C79,'Výsledková listina'!$E:$E,0),2))</f>
        <v>Řezáč Jan ml.</v>
      </c>
      <c r="E79" s="38">
        <f>IF(ISBLANK($C79),"",INDEX('Výsledková listina'!PRINT_AREA,MATCH($C79,'Výsledková listina'!$E:$E,0),8))</f>
        <v>5940</v>
      </c>
      <c r="F79" s="39">
        <f>IF(ISBLANK($C79),"",INDEX('Výsledková listina'!PRINT_AREA,MATCH($C79,'Výsledková listina'!$E:$E,0),9))</f>
        <v>12</v>
      </c>
      <c r="G79" s="266"/>
      <c r="H79" s="266"/>
      <c r="I79" s="269"/>
      <c r="J79" s="43">
        <f>IF(ISBLANK($C79),"",INDEX('Výsledková listina'!PRINT_AREA,MATCH($C79,'Výsledková listina'!$E:$E,0),12))</f>
        <v>1440</v>
      </c>
      <c r="K79" s="39">
        <f>IF(ISBLANK($C79),"",INDEX('Výsledková listina'!PRINT_AREA,MATCH($C79,'Výsledková listina'!$E:$E,0),13))</f>
        <v>12</v>
      </c>
      <c r="L79" s="266"/>
      <c r="M79" s="266"/>
      <c r="N79" s="269"/>
      <c r="O79" s="272"/>
      <c r="P79" s="254"/>
      <c r="Q79" s="257"/>
      <c r="R79" s="242"/>
    </row>
    <row r="80" spans="1:18" ht="13.5" customHeight="1" thickBot="1">
      <c r="A80" s="261"/>
      <c r="B80" s="264"/>
      <c r="C80" s="71">
        <v>4320</v>
      </c>
      <c r="D80" s="70" t="str">
        <f>IF(ISBLANK($C80),"",INDEX('Výsledková listina'!PRINT_AREA,MATCH($C80,'Výsledková listina'!$E:$E,0),2))</f>
        <v>Dvořák Dominik</v>
      </c>
      <c r="E80" s="40">
        <f>IF(ISBLANK($C80),"",INDEX('Výsledková listina'!PRINT_AREA,MATCH($C80,'Výsledková listina'!$E:$E,0),8))</f>
        <v>10120</v>
      </c>
      <c r="F80" s="41">
        <f>IF(ISBLANK($C80),"",INDEX('Výsledková listina'!PRINT_AREA,MATCH($C80,'Výsledková listina'!$E:$E,0),9))</f>
        <v>6</v>
      </c>
      <c r="G80" s="267"/>
      <c r="H80" s="267"/>
      <c r="I80" s="270"/>
      <c r="J80" s="43">
        <f>IF(ISBLANK($C80),"",INDEX('Výsledková listina'!PRINT_AREA,MATCH($C80,'Výsledková listina'!$E:$E,0),12))</f>
        <v>3440</v>
      </c>
      <c r="K80" s="41">
        <f>IF(ISBLANK($C80),"",INDEX('Výsledková listina'!PRINT_AREA,MATCH($C80,'Výsledková listina'!$E:$E,0),13))</f>
        <v>11</v>
      </c>
      <c r="L80" s="267"/>
      <c r="M80" s="267"/>
      <c r="N80" s="270"/>
      <c r="O80" s="273"/>
      <c r="P80" s="255"/>
      <c r="Q80" s="258"/>
      <c r="R80" s="243"/>
    </row>
    <row r="81" spans="1:18" ht="13.5" customHeight="1" thickBot="1">
      <c r="A81" s="259">
        <f>SUM(Q81)</f>
        <v>37</v>
      </c>
      <c r="B81" s="262" t="s">
        <v>235</v>
      </c>
      <c r="C81" s="61">
        <v>6235</v>
      </c>
      <c r="D81" s="62" t="str">
        <f>IF(ISBLANK($C81),"",INDEX('Výsledková listina'!PRINT_AREA,MATCH($C81,'Výsledková listina'!$E:$E,0),2))</f>
        <v>Král Víťa  st.</v>
      </c>
      <c r="E81" s="36">
        <f>IF(ISBLANK($C81),"",INDEX('Výsledková listina'!PRINT_AREA,MATCH($C81,'Výsledková listina'!$E:$E,0),8))</f>
        <v>9480</v>
      </c>
      <c r="F81" s="37">
        <f>IF(ISBLANK($C81),"",INDEX('Výsledková listina'!PRINT_AREA,MATCH($C81,'Výsledková listina'!$E:$E,0),9))</f>
        <v>8</v>
      </c>
      <c r="G81" s="265">
        <f>SUM(E81:E83)</f>
        <v>14960</v>
      </c>
      <c r="H81" s="265">
        <f>SUM(F81:F83)</f>
        <v>37</v>
      </c>
      <c r="I81" s="268">
        <f>RANK(H81,H:H,1)</f>
        <v>40</v>
      </c>
      <c r="J81" s="43">
        <f>IF(ISBLANK($C81),"",INDEX('Výsledková listina'!PRINT_AREA,MATCH($C81,'Výsledková listina'!$E:$E,0),12))</f>
        <v>6640</v>
      </c>
      <c r="K81" s="37">
        <f>IF(ISBLANK($C81),"",INDEX('Výsledková listina'!PRINT_AREA,MATCH($C81,'Výsledková listina'!$E:$E,0),13))</f>
        <v>14</v>
      </c>
      <c r="L81" s="265">
        <f>IF(ISBLANK($B81),"",SUM(J81:J83))</f>
        <v>12530</v>
      </c>
      <c r="M81" s="265">
        <f>IF(ISBLANK($B81),"",SUM(K81:K83))</f>
        <v>34</v>
      </c>
      <c r="N81" s="268">
        <f>IF(ISBLANK($B81),"",RANK(M81,M:M,1))</f>
        <v>35</v>
      </c>
      <c r="O81" s="271">
        <f>IF(ISBLANK($B81),"",SUM(G81,L81))</f>
        <v>27490</v>
      </c>
      <c r="P81" s="253">
        <f>IF(ISBLANK($B81),"",SUM(H81,M81))</f>
        <v>71</v>
      </c>
      <c r="Q81" s="256">
        <f>IF(O81="","",RANK(P81,P:P,1))</f>
        <v>37</v>
      </c>
      <c r="R81" s="241">
        <f>IF(P81="","",RANK(Q81,Q:Q,1))</f>
        <v>37</v>
      </c>
    </row>
    <row r="82" spans="1:18" ht="13.5" customHeight="1" thickBot="1">
      <c r="A82" s="260"/>
      <c r="B82" s="263"/>
      <c r="C82" s="63">
        <v>6234</v>
      </c>
      <c r="D82" s="64" t="str">
        <f>IF(ISBLANK($C82),"",INDEX('Výsledková listina'!PRINT_AREA,MATCH($C82,'Výsledková listina'!$E:$E,0),2))</f>
        <v>Král Víťa ml.</v>
      </c>
      <c r="E82" s="38">
        <f>IF(ISBLANK($C82),"",INDEX('Výsledková listina'!PRINT_AREA,MATCH($C82,'Výsledková listina'!$E:$E,0),8))</f>
        <v>2750</v>
      </c>
      <c r="F82" s="39">
        <f>IF(ISBLANK($C82),"",INDEX('Výsledková listina'!PRINT_AREA,MATCH($C82,'Výsledková listina'!$E:$E,0),9))</f>
        <v>14</v>
      </c>
      <c r="G82" s="266"/>
      <c r="H82" s="266"/>
      <c r="I82" s="269"/>
      <c r="J82" s="43">
        <f>IF(ISBLANK($C82),"",INDEX('Výsledková listina'!PRINT_AREA,MATCH($C82,'Výsledková listina'!$E:$E,0),12))</f>
        <v>4330</v>
      </c>
      <c r="K82" s="39">
        <f>IF(ISBLANK($C82),"",INDEX('Výsledková listina'!PRINT_AREA,MATCH($C82,'Výsledková listina'!$E:$E,0),13))</f>
        <v>7</v>
      </c>
      <c r="L82" s="266"/>
      <c r="M82" s="266"/>
      <c r="N82" s="269"/>
      <c r="O82" s="272"/>
      <c r="P82" s="254"/>
      <c r="Q82" s="257"/>
      <c r="R82" s="242"/>
    </row>
    <row r="83" spans="1:18" ht="13.5" customHeight="1" thickBot="1">
      <c r="A83" s="261"/>
      <c r="B83" s="264"/>
      <c r="C83" s="71">
        <v>6387</v>
      </c>
      <c r="D83" s="70" t="str">
        <f>IF(ISBLANK($C83),"",INDEX('Výsledková listina'!PRINT_AREA,MATCH($C83,'Výsledková listina'!$E:$E,0),2))</f>
        <v>Králová Nela</v>
      </c>
      <c r="E83" s="40">
        <f>IF(ISBLANK($C83),"",INDEX('Výsledková listina'!PRINT_AREA,MATCH($C83,'Výsledková listina'!$E:$E,0),8))</f>
        <v>2730</v>
      </c>
      <c r="F83" s="41">
        <f>IF(ISBLANK($C83),"",INDEX('Výsledková listina'!PRINT_AREA,MATCH($C83,'Výsledková listina'!$E:$E,0),9))</f>
        <v>15</v>
      </c>
      <c r="G83" s="267"/>
      <c r="H83" s="267"/>
      <c r="I83" s="270"/>
      <c r="J83" s="43">
        <f>IF(ISBLANK($C83),"",INDEX('Výsledková listina'!PRINT_AREA,MATCH($C83,'Výsledková listina'!$E:$E,0),12))</f>
        <v>1560</v>
      </c>
      <c r="K83" s="41">
        <f>IF(ISBLANK($C83),"",INDEX('Výsledková listina'!PRINT_AREA,MATCH($C83,'Výsledková listina'!$E:$E,0),13))</f>
        <v>13</v>
      </c>
      <c r="L83" s="267"/>
      <c r="M83" s="267"/>
      <c r="N83" s="270"/>
      <c r="O83" s="273"/>
      <c r="P83" s="255"/>
      <c r="Q83" s="258"/>
      <c r="R83" s="243"/>
    </row>
    <row r="84" spans="1:18" ht="13.5" customHeight="1" thickBot="1">
      <c r="A84" s="259">
        <f>SUM(Q84)</f>
        <v>32</v>
      </c>
      <c r="B84" s="262" t="s">
        <v>239</v>
      </c>
      <c r="C84" s="61">
        <v>5290</v>
      </c>
      <c r="D84" s="62" t="str">
        <f>IF(ISBLANK($C84),"",INDEX('Výsledková listina'!PRINT_AREA,MATCH($C84,'Výsledková listina'!$E:$E,0),2))</f>
        <v>Vančata Vladimír</v>
      </c>
      <c r="E84" s="36">
        <f>IF(ISBLANK($C84),"",INDEX('Výsledková listina'!PRINT_AREA,MATCH($C84,'Výsledková listina'!$E:$E,0),8))</f>
        <v>3350</v>
      </c>
      <c r="F84" s="37">
        <f>IF(ISBLANK($C84),"",INDEX('Výsledková listina'!PRINT_AREA,MATCH($C84,'Výsledková listina'!$E:$E,0),9))</f>
        <v>15</v>
      </c>
      <c r="G84" s="265">
        <f>SUM(E84:E86)</f>
        <v>16450</v>
      </c>
      <c r="H84" s="265">
        <f>SUM(F84:F86)</f>
        <v>32</v>
      </c>
      <c r="I84" s="268">
        <f>RANK(H84,H:H,1)</f>
        <v>32</v>
      </c>
      <c r="J84" s="43">
        <f>IF(ISBLANK($C84),"",INDEX('Výsledková listina'!PRINT_AREA,MATCH($C84,'Výsledková listina'!$E:$E,0),12))</f>
        <v>7610</v>
      </c>
      <c r="K84" s="37">
        <f>IF(ISBLANK($C84),"",INDEX('Výsledková listina'!PRINT_AREA,MATCH($C84,'Výsledková listina'!$E:$E,0),13))</f>
        <v>9.5</v>
      </c>
      <c r="L84" s="265">
        <f>IF(ISBLANK($B84),"",SUM(J84:J86))</f>
        <v>15040</v>
      </c>
      <c r="M84" s="265">
        <f>IF(ISBLANK($B84),"",SUM(K84:K86))</f>
        <v>26.5</v>
      </c>
      <c r="N84" s="268">
        <f>IF(ISBLANK($B84),"",RANK(M84,M:M,1))</f>
        <v>26</v>
      </c>
      <c r="O84" s="363">
        <f>IF(ISBLANK($B84),"",SUM(G84,L84))</f>
        <v>31490</v>
      </c>
      <c r="P84" s="271">
        <f>IF(ISBLANK($B84),"",SUM(H84,M84))</f>
        <v>58.5</v>
      </c>
      <c r="Q84" s="256">
        <f>IF(O84="","",RANK(P84,P:P,1))</f>
        <v>32</v>
      </c>
      <c r="R84" s="241">
        <f>IF(P84="","",RANK(Q84,Q:Q,1))</f>
        <v>32</v>
      </c>
    </row>
    <row r="85" spans="1:18" ht="13.5" customHeight="1" thickBot="1">
      <c r="A85" s="260"/>
      <c r="B85" s="263"/>
      <c r="C85" s="63">
        <v>790</v>
      </c>
      <c r="D85" s="64" t="str">
        <f>IF(ISBLANK($C85),"",INDEX('Výsledková listina'!PRINT_AREA,MATCH($C85,'Výsledková listina'!$E:$E,0),2))</f>
        <v>Šerý Kamil</v>
      </c>
      <c r="E85" s="38">
        <f>IF(ISBLANK($C85),"",INDEX('Výsledková listina'!PRINT_AREA,MATCH($C85,'Výsledková listina'!$E:$E,0),8))</f>
        <v>6690</v>
      </c>
      <c r="F85" s="39">
        <f>IF(ISBLANK($C85),"",INDEX('Výsledková listina'!PRINT_AREA,MATCH($C85,'Výsledková listina'!$E:$E,0),9))</f>
        <v>11</v>
      </c>
      <c r="G85" s="266"/>
      <c r="H85" s="266"/>
      <c r="I85" s="269"/>
      <c r="J85" s="43">
        <f>IF(ISBLANK($C85),"",INDEX('Výsledková listina'!PRINT_AREA,MATCH($C85,'Výsledková listina'!$E:$E,0),12))</f>
        <v>3990</v>
      </c>
      <c r="K85" s="39">
        <f>IF(ISBLANK($C85),"",INDEX('Výsledková listina'!PRINT_AREA,MATCH($C85,'Výsledková listina'!$E:$E,0),13))</f>
        <v>9</v>
      </c>
      <c r="L85" s="266"/>
      <c r="M85" s="266"/>
      <c r="N85" s="269"/>
      <c r="O85" s="364"/>
      <c r="P85" s="272"/>
      <c r="Q85" s="257"/>
      <c r="R85" s="242"/>
    </row>
    <row r="86" spans="1:18" ht="13.5" customHeight="1" thickBot="1">
      <c r="A86" s="261"/>
      <c r="B86" s="264"/>
      <c r="C86" s="65">
        <v>6846</v>
      </c>
      <c r="D86" s="66" t="str">
        <f>IF(ISBLANK($C86),"",INDEX('Výsledková listina'!PRINT_AREA,MATCH($C86,'Výsledková listina'!$E:$E,0),2))</f>
        <v>Lukášek Jakub</v>
      </c>
      <c r="E86" s="43">
        <f>IF(ISBLANK($C86),"",INDEX('Výsledková listina'!PRINT_AREA,MATCH($C86,'Výsledková listina'!$E:$E,0),8))</f>
        <v>6410</v>
      </c>
      <c r="F86" s="44">
        <f>IF(ISBLANK($C86),"",INDEX('Výsledková listina'!PRINT_AREA,MATCH($C86,'Výsledková listina'!$E:$E,0),9))</f>
        <v>6</v>
      </c>
      <c r="G86" s="267"/>
      <c r="H86" s="267"/>
      <c r="I86" s="270"/>
      <c r="J86" s="43">
        <f>IF(ISBLANK($C86),"",INDEX('Výsledková listina'!PRINT_AREA,MATCH($C86,'Výsledková listina'!$E:$E,0),12))</f>
        <v>3440</v>
      </c>
      <c r="K86" s="44">
        <f>IF(ISBLANK($C86),"",INDEX('Výsledková listina'!PRINT_AREA,MATCH($C86,'Výsledková listina'!$E:$E,0),13))</f>
        <v>8</v>
      </c>
      <c r="L86" s="267"/>
      <c r="M86" s="267"/>
      <c r="N86" s="270"/>
      <c r="O86" s="365"/>
      <c r="P86" s="273"/>
      <c r="Q86" s="258"/>
      <c r="R86" s="243"/>
    </row>
    <row r="87" spans="1:18" ht="13.5" customHeight="1" thickBot="1">
      <c r="A87" s="259">
        <f>SUM(Q87)</f>
        <v>22</v>
      </c>
      <c r="B87" s="262" t="s">
        <v>350</v>
      </c>
      <c r="C87" s="61">
        <v>3407</v>
      </c>
      <c r="D87" s="62" t="str">
        <f>IF(ISBLANK($C87),"",INDEX('Výsledková listina'!PRINT_AREA,MATCH($C87,'Výsledková listina'!$E:$E,0),2))</f>
        <v>Man Lukáš </v>
      </c>
      <c r="E87" s="36">
        <f>IF(ISBLANK($C87),"",INDEX('Výsledková listina'!PRINT_AREA,MATCH($C87,'Výsledková listina'!$E:$E,0),8))</f>
        <v>6380</v>
      </c>
      <c r="F87" s="37">
        <f>IF(ISBLANK($C87),"",INDEX('Výsledková listina'!PRINT_AREA,MATCH($C87,'Výsledková listina'!$E:$E,0),9))</f>
        <v>15</v>
      </c>
      <c r="G87" s="265">
        <f>SUM(E87:E89)</f>
        <v>20320</v>
      </c>
      <c r="H87" s="265">
        <f>SUM(F87:F89)</f>
        <v>33</v>
      </c>
      <c r="I87" s="268">
        <f>RANK(H87,H:H,1)</f>
        <v>36</v>
      </c>
      <c r="J87" s="43">
        <f>IF(ISBLANK($C87),"",INDEX('Výsledková listina'!PRINT_AREA,MATCH($C87,'Výsledková listina'!$E:$E,0),12))</f>
        <v>12410</v>
      </c>
      <c r="K87" s="37">
        <f>IF(ISBLANK($C87),"",INDEX('Výsledková listina'!PRINT_AREA,MATCH($C87,'Výsledková listina'!$E:$E,0),13))</f>
        <v>7</v>
      </c>
      <c r="L87" s="265">
        <f>IF(ISBLANK($B87),"",SUM(J87:J89))</f>
        <v>29690</v>
      </c>
      <c r="M87" s="265">
        <f>IF(ISBLANK($B87),"",SUM(K87:K89))</f>
        <v>15</v>
      </c>
      <c r="N87" s="268">
        <f>IF(ISBLANK($B87),"",RANK(M87,M:M,1))</f>
        <v>8</v>
      </c>
      <c r="O87" s="271">
        <f>IF(ISBLANK($B87),"",SUM(G87,L87))</f>
        <v>50010</v>
      </c>
      <c r="P87" s="253">
        <f>IF(ISBLANK($B87),"",SUM(H87,M87))</f>
        <v>48</v>
      </c>
      <c r="Q87" s="256">
        <f>IF(O87="","",RANK(P87,P:P,1))</f>
        <v>22</v>
      </c>
      <c r="R87" s="241">
        <f>IF(P87="","",RANK(Q87,Q:Q,1))</f>
        <v>22</v>
      </c>
    </row>
    <row r="88" spans="1:18" ht="13.5" customHeight="1" thickBot="1">
      <c r="A88" s="260"/>
      <c r="B88" s="263"/>
      <c r="C88" s="63">
        <v>3320</v>
      </c>
      <c r="D88" s="64" t="str">
        <f>IF(ISBLANK($C88),"",INDEX('Výsledková listina'!PRINT_AREA,MATCH($C88,'Výsledková listina'!$E:$E,0),2))</f>
        <v>Hladík Roman</v>
      </c>
      <c r="E88" s="38">
        <f>IF(ISBLANK($C88),"",INDEX('Výsledková listina'!PRINT_AREA,MATCH($C88,'Výsledková listina'!$E:$E,0),8))</f>
        <v>9990</v>
      </c>
      <c r="F88" s="39">
        <f>IF(ISBLANK($C88),"",INDEX('Výsledková listina'!PRINT_AREA,MATCH($C88,'Výsledková listina'!$E:$E,0),9))</f>
        <v>5</v>
      </c>
      <c r="G88" s="266"/>
      <c r="H88" s="266"/>
      <c r="I88" s="269"/>
      <c r="J88" s="43">
        <f>IF(ISBLANK($C88),"",INDEX('Výsledková listina'!PRINT_AREA,MATCH($C88,'Výsledková listina'!$E:$E,0),12))</f>
        <v>11260</v>
      </c>
      <c r="K88" s="39">
        <f>IF(ISBLANK($C88),"",INDEX('Výsledková listina'!PRINT_AREA,MATCH($C88,'Výsledková listina'!$E:$E,0),13))</f>
        <v>3</v>
      </c>
      <c r="L88" s="266"/>
      <c r="M88" s="266"/>
      <c r="N88" s="269"/>
      <c r="O88" s="272"/>
      <c r="P88" s="254"/>
      <c r="Q88" s="257"/>
      <c r="R88" s="242"/>
    </row>
    <row r="89" spans="1:18" ht="13.5" customHeight="1" thickBot="1">
      <c r="A89" s="261"/>
      <c r="B89" s="264"/>
      <c r="C89" s="65">
        <v>3795</v>
      </c>
      <c r="D89" s="66" t="str">
        <f>IF(ISBLANK($C89),"",INDEX('Výsledková listina'!PRINT_AREA,MATCH($C89,'Výsledková listina'!$E:$E,0),2))</f>
        <v>Richter František</v>
      </c>
      <c r="E89" s="43">
        <f>IF(ISBLANK($C89),"",INDEX('Výsledková listina'!PRINT_AREA,MATCH($C89,'Výsledková listina'!$E:$E,0),8))</f>
        <v>3950</v>
      </c>
      <c r="F89" s="44">
        <f>IF(ISBLANK($C89),"",INDEX('Výsledková listina'!PRINT_AREA,MATCH($C89,'Výsledková listina'!$E:$E,0),9))</f>
        <v>13</v>
      </c>
      <c r="G89" s="267"/>
      <c r="H89" s="267"/>
      <c r="I89" s="270"/>
      <c r="J89" s="43">
        <f>IF(ISBLANK($C89),"",INDEX('Výsledková listina'!PRINT_AREA,MATCH($C89,'Výsledková listina'!$E:$E,0),12))</f>
        <v>6020</v>
      </c>
      <c r="K89" s="44">
        <f>IF(ISBLANK($C89),"",INDEX('Výsledková listina'!PRINT_AREA,MATCH($C89,'Výsledková listina'!$E:$E,0),13))</f>
        <v>5</v>
      </c>
      <c r="L89" s="267"/>
      <c r="M89" s="267"/>
      <c r="N89" s="270"/>
      <c r="O89" s="273"/>
      <c r="P89" s="255"/>
      <c r="Q89" s="258"/>
      <c r="R89" s="243"/>
    </row>
    <row r="90" spans="1:18" ht="13.5" customHeight="1" thickBot="1">
      <c r="A90" s="259">
        <f>SUM(Q90)</f>
        <v>13</v>
      </c>
      <c r="B90" s="262" t="s">
        <v>251</v>
      </c>
      <c r="C90" s="61">
        <v>3645</v>
      </c>
      <c r="D90" s="62" t="str">
        <f>IF(ISBLANK($C90),"",INDEX('Výsledková listina'!PRINT_AREA,MATCH($C90,'Výsledková listina'!$E:$E,0),2))</f>
        <v>Bank Jan</v>
      </c>
      <c r="E90" s="36">
        <f>IF(ISBLANK($C90),"",INDEX('Výsledková listina'!PRINT_AREA,MATCH($C90,'Výsledková listina'!$E:$E,0),8))</f>
        <v>11500</v>
      </c>
      <c r="F90" s="37">
        <f>IF(ISBLANK($C90),"",INDEX('Výsledková listina'!PRINT_AREA,MATCH($C90,'Výsledková listina'!$E:$E,0),9))</f>
        <v>5</v>
      </c>
      <c r="G90" s="265">
        <f>SUM(E90:E92)</f>
        <v>39290</v>
      </c>
      <c r="H90" s="265">
        <f>SUM(F90:F92)</f>
        <v>14</v>
      </c>
      <c r="I90" s="268">
        <f>RANK(H90,H:H,1)</f>
        <v>8</v>
      </c>
      <c r="J90" s="43">
        <f>IF(ISBLANK($C90),"",INDEX('Výsledková listina'!PRINT_AREA,MATCH($C90,'Výsledková listina'!$E:$E,0),12))</f>
        <v>10740</v>
      </c>
      <c r="K90" s="37">
        <f>IF(ISBLANK($C90),"",INDEX('Výsledková listina'!PRINT_AREA,MATCH($C90,'Výsledková listina'!$E:$E,0),13))</f>
        <v>6</v>
      </c>
      <c r="L90" s="265">
        <f>IF(ISBLANK($B90),"",SUM(J90:J92))</f>
        <v>19610</v>
      </c>
      <c r="M90" s="265">
        <f>IF(ISBLANK($B90),"",SUM(K90:K92))</f>
        <v>20</v>
      </c>
      <c r="N90" s="268">
        <f>IF(ISBLANK($B90),"",RANK(M90,M:M,1))</f>
        <v>17</v>
      </c>
      <c r="O90" s="271">
        <f>IF(ISBLANK($B90),"",SUM(G90,L90))</f>
        <v>58900</v>
      </c>
      <c r="P90" s="253">
        <f>IF(ISBLANK($B90),"",SUM(H90,M90))</f>
        <v>34</v>
      </c>
      <c r="Q90" s="256">
        <v>13</v>
      </c>
      <c r="R90" s="241">
        <f>IF(P90="","",RANK(Q90,Q:Q,1))</f>
        <v>13</v>
      </c>
    </row>
    <row r="91" spans="1:18" ht="13.5" customHeight="1" thickBot="1">
      <c r="A91" s="260"/>
      <c r="B91" s="263"/>
      <c r="C91" s="63">
        <v>6643</v>
      </c>
      <c r="D91" s="64" t="str">
        <f>IF(ISBLANK($C91),"",INDEX('Výsledková listina'!PRINT_AREA,MATCH($C91,'Výsledková listina'!$E:$E,0),2))</f>
        <v>Hanousek Jiří</v>
      </c>
      <c r="E91" s="38">
        <f>IF(ISBLANK($C91),"",INDEX('Výsledková listina'!PRINT_AREA,MATCH($C91,'Výsledková listina'!$E:$E,0),8))</f>
        <v>12090</v>
      </c>
      <c r="F91" s="39">
        <f>IF(ISBLANK($C91),"",INDEX('Výsledková listina'!PRINT_AREA,MATCH($C91,'Výsledková listina'!$E:$E,0),9))</f>
        <v>6</v>
      </c>
      <c r="G91" s="266"/>
      <c r="H91" s="266"/>
      <c r="I91" s="269"/>
      <c r="J91" s="43">
        <f>IF(ISBLANK($C91),"",INDEX('Výsledková listina'!PRINT_AREA,MATCH($C91,'Výsledková listina'!$E:$E,0),12))</f>
        <v>6210</v>
      </c>
      <c r="K91" s="39">
        <f>IF(ISBLANK($C91),"",INDEX('Výsledková listina'!PRINT_AREA,MATCH($C91,'Výsledková listina'!$E:$E,0),13))</f>
        <v>5</v>
      </c>
      <c r="L91" s="266"/>
      <c r="M91" s="266"/>
      <c r="N91" s="269"/>
      <c r="O91" s="272"/>
      <c r="P91" s="254"/>
      <c r="Q91" s="257"/>
      <c r="R91" s="242"/>
    </row>
    <row r="92" spans="1:18" ht="13.5" customHeight="1" thickBot="1">
      <c r="A92" s="261"/>
      <c r="B92" s="264"/>
      <c r="C92" s="65">
        <v>4573</v>
      </c>
      <c r="D92" s="66" t="str">
        <f>IF(ISBLANK($C92),"",INDEX('Výsledková listina'!PRINT_AREA,MATCH($C92,'Výsledková listina'!$E:$E,0),2))</f>
        <v>Varga Ladislav</v>
      </c>
      <c r="E92" s="43">
        <f>IF(ISBLANK($C92),"",INDEX('Výsledková listina'!PRINT_AREA,MATCH($C92,'Výsledková listina'!$E:$E,0),8))</f>
        <v>15700</v>
      </c>
      <c r="F92" s="44">
        <f>IF(ISBLANK($C92),"",INDEX('Výsledková listina'!PRINT_AREA,MATCH($C92,'Výsledková listina'!$E:$E,0),9))</f>
        <v>3</v>
      </c>
      <c r="G92" s="267"/>
      <c r="H92" s="267"/>
      <c r="I92" s="270"/>
      <c r="J92" s="43">
        <f>IF(ISBLANK($C92),"",INDEX('Výsledková listina'!PRINT_AREA,MATCH($C92,'Výsledková listina'!$E:$E,0),12))</f>
        <v>2660</v>
      </c>
      <c r="K92" s="44">
        <f>IF(ISBLANK($C92),"",INDEX('Výsledková listina'!PRINT_AREA,MATCH($C92,'Výsledková listina'!$E:$E,0),13))</f>
        <v>9</v>
      </c>
      <c r="L92" s="267"/>
      <c r="M92" s="267"/>
      <c r="N92" s="270"/>
      <c r="O92" s="273"/>
      <c r="P92" s="255"/>
      <c r="Q92" s="258"/>
      <c r="R92" s="243"/>
    </row>
    <row r="93" spans="1:18" ht="13.5" customHeight="1" thickBot="1">
      <c r="A93" s="259">
        <f>SUM(Q93)</f>
        <v>23</v>
      </c>
      <c r="B93" s="262" t="s">
        <v>260</v>
      </c>
      <c r="C93" s="61">
        <v>6210</v>
      </c>
      <c r="D93" s="62" t="str">
        <f>IF(ISBLANK($C93),"",INDEX('Výsledková listina'!PRINT_AREA,MATCH($C93,'Výsledková listina'!$E:$E,0),2))</f>
        <v>Vojta Jan</v>
      </c>
      <c r="E93" s="36">
        <f>IF(ISBLANK($C93),"",INDEX('Výsledková listina'!PRINT_AREA,MATCH($C93,'Výsledková listina'!$E:$E,0),8))</f>
        <v>16880</v>
      </c>
      <c r="F93" s="37">
        <f>IF(ISBLANK($C93),"",INDEX('Výsledková listina'!PRINT_AREA,MATCH($C93,'Výsledková listina'!$E:$E,0),9))</f>
        <v>1</v>
      </c>
      <c r="G93" s="265">
        <f>SUM(E93:E95)</f>
        <v>31010</v>
      </c>
      <c r="H93" s="265">
        <f>SUM(F93:F95)</f>
        <v>20</v>
      </c>
      <c r="I93" s="268">
        <f>RANK(H93,H:H,1)</f>
        <v>15</v>
      </c>
      <c r="J93" s="43">
        <f>IF(ISBLANK($C93),"",INDEX('Výsledková listina'!PRINT_AREA,MATCH($C93,'Výsledková listina'!$E:$E,0),12))</f>
        <v>5290</v>
      </c>
      <c r="K93" s="37">
        <f>IF(ISBLANK($C93),"",INDEX('Výsledková listina'!PRINT_AREA,MATCH($C93,'Výsledková listina'!$E:$E,0),13))</f>
        <v>6</v>
      </c>
      <c r="L93" s="265">
        <f>IF(ISBLANK($B93),"",SUM(J93:J95))</f>
        <v>17110</v>
      </c>
      <c r="M93" s="265">
        <f>IF(ISBLANK($B93),"",SUM(K93:K95))</f>
        <v>29</v>
      </c>
      <c r="N93" s="268">
        <f>IF(ISBLANK($B93),"",RANK(M93,M:M,1))</f>
        <v>30</v>
      </c>
      <c r="O93" s="271">
        <f>IF(ISBLANK($B93),"",SUM(G93,L93))</f>
        <v>48120</v>
      </c>
      <c r="P93" s="253">
        <f>IF(ISBLANK($B93),"",SUM(H93,M93))</f>
        <v>49</v>
      </c>
      <c r="Q93" s="256">
        <f>IF(O93="","",RANK(P93,P:P,1))</f>
        <v>23</v>
      </c>
      <c r="R93" s="241">
        <f>IF(P93="","",RANK(Q93,Q:Q,1))</f>
        <v>23</v>
      </c>
    </row>
    <row r="94" spans="1:18" ht="13.5" customHeight="1" thickBot="1">
      <c r="A94" s="260"/>
      <c r="B94" s="263"/>
      <c r="C94" s="63">
        <v>5165</v>
      </c>
      <c r="D94" s="64" t="str">
        <f>IF(ISBLANK($C94),"",INDEX('Výsledková listina'!PRINT_AREA,MATCH($C94,'Výsledková listina'!$E:$E,0),2))</f>
        <v>Paulovič Marek</v>
      </c>
      <c r="E94" s="38">
        <f>IF(ISBLANK($C94),"",INDEX('Výsledková listina'!PRINT_AREA,MATCH($C94,'Výsledková listina'!$E:$E,0),8))</f>
        <v>8510</v>
      </c>
      <c r="F94" s="39">
        <f>IF(ISBLANK($C94),"",INDEX('Výsledková listina'!PRINT_AREA,MATCH($C94,'Výsledková listina'!$E:$E,0),9))</f>
        <v>5</v>
      </c>
      <c r="G94" s="266"/>
      <c r="H94" s="266"/>
      <c r="I94" s="269"/>
      <c r="J94" s="43">
        <f>IF(ISBLANK($C94),"",INDEX('Výsledková listina'!PRINT_AREA,MATCH($C94,'Výsledková listina'!$E:$E,0),12))</f>
        <v>420</v>
      </c>
      <c r="K94" s="39">
        <f>IF(ISBLANK($C94),"",INDEX('Výsledková listina'!PRINT_AREA,MATCH($C94,'Výsledková listina'!$E:$E,0),13))</f>
        <v>15</v>
      </c>
      <c r="L94" s="266"/>
      <c r="M94" s="266"/>
      <c r="N94" s="269"/>
      <c r="O94" s="272"/>
      <c r="P94" s="254"/>
      <c r="Q94" s="257"/>
      <c r="R94" s="242"/>
    </row>
    <row r="95" spans="1:18" ht="13.5" customHeight="1" thickBot="1">
      <c r="A95" s="261"/>
      <c r="B95" s="264"/>
      <c r="C95" s="65">
        <v>5713</v>
      </c>
      <c r="D95" s="66" t="str">
        <f>IF(ISBLANK($C95),"",INDEX('Výsledková listina'!PRINT_AREA,MATCH($C95,'Výsledková listina'!$E:$E,0),2))</f>
        <v>Pužej Štěpán</v>
      </c>
      <c r="E95" s="43">
        <f>IF(ISBLANK($C95),"",INDEX('Výsledková listina'!PRINT_AREA,MATCH($C95,'Výsledková listina'!$E:$E,0),8))</f>
        <v>5620</v>
      </c>
      <c r="F95" s="44">
        <f>IF(ISBLANK($C95),"",INDEX('Výsledková listina'!PRINT_AREA,MATCH($C95,'Výsledková listina'!$E:$E,0),9))</f>
        <v>14</v>
      </c>
      <c r="G95" s="267"/>
      <c r="H95" s="267"/>
      <c r="I95" s="270"/>
      <c r="J95" s="43">
        <f>IF(ISBLANK($C95),"",INDEX('Výsledková listina'!PRINT_AREA,MATCH($C95,'Výsledková listina'!$E:$E,0),12))</f>
        <v>11400</v>
      </c>
      <c r="K95" s="44">
        <f>IF(ISBLANK($C95),"",INDEX('Výsledková listina'!PRINT_AREA,MATCH($C95,'Výsledková listina'!$E:$E,0),13))</f>
        <v>8</v>
      </c>
      <c r="L95" s="267"/>
      <c r="M95" s="267"/>
      <c r="N95" s="270"/>
      <c r="O95" s="273"/>
      <c r="P95" s="255"/>
      <c r="Q95" s="258"/>
      <c r="R95" s="243"/>
    </row>
    <row r="96" spans="1:18" ht="13.5" customHeight="1" thickBot="1">
      <c r="A96" s="259">
        <f>SUM(Q96)</f>
        <v>44</v>
      </c>
      <c r="B96" s="262" t="s">
        <v>265</v>
      </c>
      <c r="C96" s="61">
        <v>6292</v>
      </c>
      <c r="D96" s="62" t="str">
        <f>IF(ISBLANK($C96),"",INDEX('Výsledková listina'!PRINT_AREA,MATCH($C96,'Výsledková listina'!$E:$E,0),2))</f>
        <v>Zoul Artur</v>
      </c>
      <c r="E96" s="36">
        <f>IF(ISBLANK($C96),"",INDEX('Výsledková listina'!PRINT_AREA,MATCH($C96,'Výsledková listina'!$E:$E,0),8))</f>
        <v>1510</v>
      </c>
      <c r="F96" s="37">
        <f>IF(ISBLANK($C96),"",INDEX('Výsledková listina'!PRINT_AREA,MATCH($C96,'Výsledková listina'!$E:$E,0),9))</f>
        <v>13</v>
      </c>
      <c r="G96" s="265">
        <f>SUM(E96:E98)</f>
        <v>4810</v>
      </c>
      <c r="H96" s="265">
        <f>SUM(F96:F98)</f>
        <v>43</v>
      </c>
      <c r="I96" s="268">
        <f>RANK(H96,H:H,1)</f>
        <v>44</v>
      </c>
      <c r="J96" s="43">
        <f>IF(ISBLANK($C96),"",INDEX('Výsledková listina'!PRINT_AREA,MATCH($C96,'Výsledková listina'!$E:$E,0),12))</f>
        <v>540</v>
      </c>
      <c r="K96" s="37">
        <f>IF(ISBLANK($C96),"",INDEX('Výsledková listina'!PRINT_AREA,MATCH($C96,'Výsledková listina'!$E:$E,0),13))</f>
        <v>14</v>
      </c>
      <c r="L96" s="265">
        <f>IF(ISBLANK($B96),"",SUM(J96:J98))</f>
        <v>1680</v>
      </c>
      <c r="M96" s="265">
        <f>IF(ISBLANK($B96),"",SUM(K96:K98))</f>
        <v>45</v>
      </c>
      <c r="N96" s="268">
        <f>IF(ISBLANK($B96),"",RANK(M96,M:M,1))</f>
        <v>43</v>
      </c>
      <c r="O96" s="271">
        <f>IF(ISBLANK($B96),"",SUM(G96,L96))</f>
        <v>6490</v>
      </c>
      <c r="P96" s="253">
        <f>IF(ISBLANK($B96),"",SUM(H96,M96))</f>
        <v>88</v>
      </c>
      <c r="Q96" s="256">
        <f>IF(O96="","",RANK(P96,P:P,1))</f>
        <v>44</v>
      </c>
      <c r="R96" s="241">
        <f>IF(P96="","",RANK(Q96,Q:Q,1))</f>
        <v>44</v>
      </c>
    </row>
    <row r="97" spans="1:18" ht="13.5" customHeight="1" thickBot="1">
      <c r="A97" s="260"/>
      <c r="B97" s="263"/>
      <c r="C97" s="63">
        <v>5073</v>
      </c>
      <c r="D97" s="64" t="str">
        <f>IF(ISBLANK($C97),"",INDEX('Výsledková listina'!PRINT_AREA,MATCH($C97,'Výsledková listina'!$E:$E,0),2))</f>
        <v>Kryštofy Roman</v>
      </c>
      <c r="E97" s="38">
        <f>IF(ISBLANK($C97),"",INDEX('Výsledková listina'!PRINT_AREA,MATCH($C97,'Výsledková listina'!$E:$E,0),8))</f>
        <v>1800</v>
      </c>
      <c r="F97" s="39">
        <f>IF(ISBLANK($C97),"",INDEX('Výsledková listina'!PRINT_AREA,MATCH($C97,'Výsledková listina'!$E:$E,0),9))</f>
        <v>14</v>
      </c>
      <c r="G97" s="266"/>
      <c r="H97" s="266"/>
      <c r="I97" s="269"/>
      <c r="J97" s="43">
        <f>IF(ISBLANK($C97),"",INDEX('Výsledková listina'!PRINT_AREA,MATCH($C97,'Výsledková listina'!$E:$E,0),12))</f>
        <v>390</v>
      </c>
      <c r="K97" s="39">
        <f>IF(ISBLANK($C97),"",INDEX('Výsledková listina'!PRINT_AREA,MATCH($C97,'Výsledková listina'!$E:$E,0),13))</f>
        <v>15</v>
      </c>
      <c r="L97" s="266"/>
      <c r="M97" s="266"/>
      <c r="N97" s="269"/>
      <c r="O97" s="272"/>
      <c r="P97" s="254"/>
      <c r="Q97" s="257"/>
      <c r="R97" s="242"/>
    </row>
    <row r="98" spans="1:18" ht="13.5" customHeight="1" thickBot="1">
      <c r="A98" s="261"/>
      <c r="B98" s="264"/>
      <c r="C98" s="65">
        <v>7003</v>
      </c>
      <c r="D98" s="66" t="str">
        <f>IF(ISBLANK($C98),"",INDEX('Výsledková listina'!PRINT_AREA,MATCH($C98,'Výsledková listina'!$E:$E,0),2))</f>
        <v>Novosad Tomáš</v>
      </c>
      <c r="E98" s="43">
        <f>IF(ISBLANK($C98),"",INDEX('Výsledková listina'!PRINT_AREA,MATCH($C98,'Výsledková listina'!$E:$E,0),8))</f>
        <v>1500</v>
      </c>
      <c r="F98" s="44">
        <f>IF(ISBLANK($C98),"",INDEX('Výsledková listina'!PRINT_AREA,MATCH($C98,'Výsledková listina'!$E:$E,0),9))</f>
        <v>16</v>
      </c>
      <c r="G98" s="267"/>
      <c r="H98" s="267"/>
      <c r="I98" s="270"/>
      <c r="J98" s="43">
        <f>IF(ISBLANK($C98),"",INDEX('Výsledková listina'!PRINT_AREA,MATCH($C98,'Výsledková listina'!$E:$E,0),12))</f>
        <v>750</v>
      </c>
      <c r="K98" s="44">
        <f>IF(ISBLANK($C98),"",INDEX('Výsledková listina'!PRINT_AREA,MATCH($C98,'Výsledková listina'!$E:$E,0),13))</f>
        <v>16</v>
      </c>
      <c r="L98" s="267"/>
      <c r="M98" s="267"/>
      <c r="N98" s="270"/>
      <c r="O98" s="273"/>
      <c r="P98" s="255"/>
      <c r="Q98" s="258"/>
      <c r="R98" s="243"/>
    </row>
    <row r="99" spans="1:18" ht="13.5" customHeight="1" thickBot="1">
      <c r="A99" s="259">
        <f>SUM(Q99)</f>
        <v>15</v>
      </c>
      <c r="B99" s="262" t="s">
        <v>271</v>
      </c>
      <c r="C99" s="61">
        <v>3055</v>
      </c>
      <c r="D99" s="62" t="str">
        <f>IF(ISBLANK($C99),"",INDEX('Výsledková listina'!PRINT_AREA,MATCH($C99,'Výsledková listina'!$E:$E,0),2))</f>
        <v>Oliva Vladimír</v>
      </c>
      <c r="E99" s="36">
        <f>IF(ISBLANK($C99),"",INDEX('Výsledková listina'!PRINT_AREA,MATCH($C99,'Výsledková listina'!$E:$E,0),8))</f>
        <v>11860</v>
      </c>
      <c r="F99" s="37">
        <f>IF(ISBLANK($C99),"",INDEX('Výsledková listina'!PRINT_AREA,MATCH($C99,'Výsledková listina'!$E:$E,0),9))</f>
        <v>4</v>
      </c>
      <c r="G99" s="265">
        <f>SUM(E99:E101)</f>
        <v>31640</v>
      </c>
      <c r="H99" s="265">
        <f>SUM(F99:F101)</f>
        <v>16</v>
      </c>
      <c r="I99" s="268">
        <f>RANK(H99,H:H,1)</f>
        <v>12</v>
      </c>
      <c r="J99" s="43">
        <f>IF(ISBLANK($C99),"",INDEX('Výsledková listina'!PRINT_AREA,MATCH($C99,'Výsledková listina'!$E:$E,0),12))</f>
        <v>9710</v>
      </c>
      <c r="K99" s="37">
        <f>IF(ISBLANK($C99),"",INDEX('Výsledková listina'!PRINT_AREA,MATCH($C99,'Výsledková listina'!$E:$E,0),13))</f>
        <v>10</v>
      </c>
      <c r="L99" s="265">
        <f>IF(ISBLANK($B99),"",SUM(J99:J101))</f>
        <v>26890</v>
      </c>
      <c r="M99" s="265">
        <f>IF(ISBLANK($B99),"",SUM(K99:K101))</f>
        <v>20</v>
      </c>
      <c r="N99" s="268">
        <f>IF(ISBLANK($B99),"",RANK(M99,M:M,1))</f>
        <v>17</v>
      </c>
      <c r="O99" s="271">
        <f>IF(ISBLANK($B99),"",SUM(G99,L99))</f>
        <v>58530</v>
      </c>
      <c r="P99" s="253">
        <f>IF(ISBLANK($B99),"",SUM(H99,M99))</f>
        <v>36</v>
      </c>
      <c r="Q99" s="256">
        <f>IF(O99="","",RANK(P99,P:P,1))</f>
        <v>15</v>
      </c>
      <c r="R99" s="241">
        <f>IF(P99="","",RANK(Q99,Q:Q,1))</f>
        <v>15</v>
      </c>
    </row>
    <row r="100" spans="1:18" ht="13.5" customHeight="1" thickBot="1">
      <c r="A100" s="260"/>
      <c r="B100" s="263"/>
      <c r="C100" s="63">
        <v>3373</v>
      </c>
      <c r="D100" s="64" t="str">
        <f>IF(ISBLANK($C100),"",INDEX('Výsledková listina'!PRINT_AREA,MATCH($C100,'Výsledková listina'!$E:$E,0),2))</f>
        <v>Kunst Antonín</v>
      </c>
      <c r="E100" s="38">
        <f>IF(ISBLANK($C100),"",INDEX('Výsledková listina'!PRINT_AREA,MATCH($C100,'Výsledková listina'!$E:$E,0),8))</f>
        <v>9370</v>
      </c>
      <c r="F100" s="39">
        <f>IF(ISBLANK($C100),"",INDEX('Výsledková listina'!PRINT_AREA,MATCH($C100,'Výsledková listina'!$E:$E,0),9))</f>
        <v>8</v>
      </c>
      <c r="G100" s="266"/>
      <c r="H100" s="266"/>
      <c r="I100" s="269"/>
      <c r="J100" s="43">
        <f>IF(ISBLANK($C100),"",INDEX('Výsledková listina'!PRINT_AREA,MATCH($C100,'Výsledková listina'!$E:$E,0),12))</f>
        <v>14760</v>
      </c>
      <c r="K100" s="39">
        <f>IF(ISBLANK($C100),"",INDEX('Výsledková listina'!PRINT_AREA,MATCH($C100,'Výsledková listina'!$E:$E,0),13))</f>
        <v>1</v>
      </c>
      <c r="L100" s="266"/>
      <c r="M100" s="266"/>
      <c r="N100" s="269"/>
      <c r="O100" s="272"/>
      <c r="P100" s="254"/>
      <c r="Q100" s="257"/>
      <c r="R100" s="242"/>
    </row>
    <row r="101" spans="1:18" ht="13.5" customHeight="1" thickBot="1">
      <c r="A101" s="261"/>
      <c r="B101" s="264"/>
      <c r="C101" s="65">
        <v>5791</v>
      </c>
      <c r="D101" s="66" t="str">
        <f>IF(ISBLANK($C101),"",INDEX('Výsledková listina'!PRINT_AREA,MATCH($C101,'Výsledková listina'!$E:$E,0),2))</f>
        <v>Ondraček Petr</v>
      </c>
      <c r="E101" s="43">
        <f>IF(ISBLANK($C101),"",INDEX('Výsledková listina'!PRINT_AREA,MATCH($C101,'Výsledková listina'!$E:$E,0),8))</f>
        <v>10410</v>
      </c>
      <c r="F101" s="44">
        <f>IF(ISBLANK($C101),"",INDEX('Výsledková listina'!PRINT_AREA,MATCH($C101,'Výsledková listina'!$E:$E,0),9))</f>
        <v>4</v>
      </c>
      <c r="G101" s="267"/>
      <c r="H101" s="267"/>
      <c r="I101" s="270"/>
      <c r="J101" s="43">
        <f>IF(ISBLANK($C101),"",INDEX('Výsledková listina'!PRINT_AREA,MATCH($C101,'Výsledková listina'!$E:$E,0),12))</f>
        <v>2420</v>
      </c>
      <c r="K101" s="44">
        <f>IF(ISBLANK($C101),"",INDEX('Výsledková listina'!PRINT_AREA,MATCH($C101,'Výsledková listina'!$E:$E,0),13))</f>
        <v>9</v>
      </c>
      <c r="L101" s="267"/>
      <c r="M101" s="267"/>
      <c r="N101" s="270"/>
      <c r="O101" s="273"/>
      <c r="P101" s="255"/>
      <c r="Q101" s="258"/>
      <c r="R101" s="243"/>
    </row>
    <row r="102" spans="1:18" ht="13.5" customHeight="1" thickBot="1">
      <c r="A102" s="259">
        <f>SUM(Q102)</f>
        <v>10</v>
      </c>
      <c r="B102" s="262" t="s">
        <v>277</v>
      </c>
      <c r="C102" s="61">
        <v>3733</v>
      </c>
      <c r="D102" s="62" t="str">
        <f>IF(ISBLANK($C102),"",INDEX('Výsledková listina'!PRINT_AREA,MATCH($C102,'Výsledková listina'!$E:$E,0),2))</f>
        <v>Škrobánek Michal</v>
      </c>
      <c r="E102" s="36">
        <f>IF(ISBLANK($C102),"",INDEX('Výsledková listina'!PRINT_AREA,MATCH($C102,'Výsledková listina'!$E:$E,0),8))</f>
        <v>10060</v>
      </c>
      <c r="F102" s="37">
        <f>IF(ISBLANK($C102),"",INDEX('Výsledková listina'!PRINT_AREA,MATCH($C102,'Výsledková listina'!$E:$E,0),9))</f>
        <v>7</v>
      </c>
      <c r="G102" s="265">
        <f>SUM(E102:E104)</f>
        <v>34410</v>
      </c>
      <c r="H102" s="265">
        <f>SUM(F102:F104)</f>
        <v>16</v>
      </c>
      <c r="I102" s="268">
        <f>RANK(H102,H:H,1)</f>
        <v>12</v>
      </c>
      <c r="J102" s="43">
        <f>IF(ISBLANK($C102),"",INDEX('Výsledková listina'!PRINT_AREA,MATCH($C102,'Výsledková listina'!$E:$E,0),12))</f>
        <v>12430</v>
      </c>
      <c r="K102" s="37">
        <f>IF(ISBLANK($C102),"",INDEX('Výsledková listina'!PRINT_AREA,MATCH($C102,'Výsledková listina'!$E:$E,0),13))</f>
        <v>7</v>
      </c>
      <c r="L102" s="265">
        <f>IF(ISBLANK($B102),"",SUM(J102:J104))</f>
        <v>30600</v>
      </c>
      <c r="M102" s="265">
        <f>IF(ISBLANK($B102),"",SUM(K102:K104))</f>
        <v>16</v>
      </c>
      <c r="N102" s="268">
        <f>IF(ISBLANK($B102),"",RANK(M102,M:M,1))</f>
        <v>11</v>
      </c>
      <c r="O102" s="271">
        <f>IF(ISBLANK($B102),"",SUM(G102,L102))</f>
        <v>65010</v>
      </c>
      <c r="P102" s="253">
        <f>IF(ISBLANK($B102),"",SUM(H102,M102))</f>
        <v>32</v>
      </c>
      <c r="Q102" s="274">
        <v>10</v>
      </c>
      <c r="R102" s="244">
        <v>10</v>
      </c>
    </row>
    <row r="103" spans="1:18" ht="13.5" customHeight="1" thickBot="1">
      <c r="A103" s="260"/>
      <c r="B103" s="263"/>
      <c r="C103" s="63">
        <v>3751</v>
      </c>
      <c r="D103" s="64" t="str">
        <f>IF(ISBLANK($C103),"",INDEX('Výsledková listina'!PRINT_AREA,MATCH($C103,'Výsledková listina'!$E:$E,0),2))</f>
        <v>Viktorin Tomáš</v>
      </c>
      <c r="E103" s="38">
        <f>IF(ISBLANK($C103),"",INDEX('Výsledková listina'!PRINT_AREA,MATCH($C103,'Výsledková listina'!$E:$E,0),8))</f>
        <v>14700</v>
      </c>
      <c r="F103" s="39">
        <f>IF(ISBLANK($C103),"",INDEX('Výsledková listina'!PRINT_AREA,MATCH($C103,'Výsledková listina'!$E:$E,0),9))</f>
        <v>4</v>
      </c>
      <c r="G103" s="266"/>
      <c r="H103" s="266"/>
      <c r="I103" s="269"/>
      <c r="J103" s="43">
        <f>IF(ISBLANK($C103),"",INDEX('Výsledková listina'!PRINT_AREA,MATCH($C103,'Výsledková listina'!$E:$E,0),12))</f>
        <v>8170</v>
      </c>
      <c r="K103" s="39">
        <f>IF(ISBLANK($C103),"",INDEX('Výsledková listina'!PRINT_AREA,MATCH($C103,'Výsledková listina'!$E:$E,0),13))</f>
        <v>3</v>
      </c>
      <c r="L103" s="266"/>
      <c r="M103" s="266"/>
      <c r="N103" s="269"/>
      <c r="O103" s="272"/>
      <c r="P103" s="254"/>
      <c r="Q103" s="275"/>
      <c r="R103" s="245"/>
    </row>
    <row r="104" spans="1:18" ht="13.5" customHeight="1" thickBot="1">
      <c r="A104" s="261"/>
      <c r="B104" s="264"/>
      <c r="C104" s="65">
        <v>3885</v>
      </c>
      <c r="D104" s="66" t="str">
        <f>IF(ISBLANK($C104),"",INDEX('Výsledková listina'!PRINT_AREA,MATCH($C104,'Výsledková listina'!$E:$E,0),2))</f>
        <v>Zeman Tomáš</v>
      </c>
      <c r="E104" s="43">
        <f>IF(ISBLANK($C104),"",INDEX('Výsledková listina'!PRINT_AREA,MATCH($C104,'Výsledková listina'!$E:$E,0),8))</f>
        <v>9650</v>
      </c>
      <c r="F104" s="44">
        <f>IF(ISBLANK($C104),"",INDEX('Výsledková listina'!PRINT_AREA,MATCH($C104,'Výsledková listina'!$E:$E,0),9))</f>
        <v>5</v>
      </c>
      <c r="G104" s="267"/>
      <c r="H104" s="267"/>
      <c r="I104" s="270"/>
      <c r="J104" s="43">
        <f>IF(ISBLANK($C104),"",INDEX('Výsledková listina'!PRINT_AREA,MATCH($C104,'Výsledková listina'!$E:$E,0),12))</f>
        <v>10000</v>
      </c>
      <c r="K104" s="44">
        <f>IF(ISBLANK($C104),"",INDEX('Výsledková listina'!PRINT_AREA,MATCH($C104,'Výsledková listina'!$E:$E,0),13))</f>
        <v>6</v>
      </c>
      <c r="L104" s="267"/>
      <c r="M104" s="267"/>
      <c r="N104" s="270"/>
      <c r="O104" s="273"/>
      <c r="P104" s="255"/>
      <c r="Q104" s="276"/>
      <c r="R104" s="246"/>
    </row>
    <row r="105" spans="1:18" ht="13.5" customHeight="1" thickBot="1">
      <c r="A105" s="259">
        <f>SUM(Q105)</f>
        <v>14</v>
      </c>
      <c r="B105" s="262" t="s">
        <v>278</v>
      </c>
      <c r="C105" s="61">
        <v>2793</v>
      </c>
      <c r="D105" s="62" t="str">
        <f>IF(ISBLANK($C105),"",INDEX('Výsledková listina'!PRINT_AREA,MATCH($C105,'Výsledková listina'!$E:$E,0),2))</f>
        <v>Sičák Pavel</v>
      </c>
      <c r="E105" s="36">
        <f>IF(ISBLANK($C105),"",INDEX('Výsledková listina'!PRINT_AREA,MATCH($C105,'Výsledková listina'!$E:$E,0),8))</f>
        <v>10680</v>
      </c>
      <c r="F105" s="37">
        <f>IF(ISBLANK($C105),"",INDEX('Výsledková listina'!PRINT_AREA,MATCH($C105,'Výsledková listina'!$E:$E,0),9))</f>
        <v>5</v>
      </c>
      <c r="G105" s="265">
        <f>SUM(E105:E107)</f>
        <v>23980</v>
      </c>
      <c r="H105" s="265">
        <f>SUM(F105:F107)</f>
        <v>21</v>
      </c>
      <c r="I105" s="268">
        <f>RANK(H105,H:H,1)</f>
        <v>17</v>
      </c>
      <c r="J105" s="43">
        <f>IF(ISBLANK($C105),"",INDEX('Výsledková listina'!PRINT_AREA,MATCH($C105,'Výsledková listina'!$E:$E,0),12))</f>
        <v>10980</v>
      </c>
      <c r="K105" s="37">
        <f>IF(ISBLANK($C105),"",INDEX('Výsledková listina'!PRINT_AREA,MATCH($C105,'Výsledková listina'!$E:$E,0),13))</f>
        <v>3</v>
      </c>
      <c r="L105" s="265">
        <f>IF(ISBLANK($B105),"",SUM(J105:J107))</f>
        <v>34070</v>
      </c>
      <c r="M105" s="265">
        <f>IF(ISBLANK($B105),"",SUM(K105:K107))</f>
        <v>13</v>
      </c>
      <c r="N105" s="268">
        <f>IF(ISBLANK($B105),"",RANK(M105,M:M,1))</f>
        <v>6</v>
      </c>
      <c r="O105" s="271">
        <f>IF(ISBLANK($B105),"",SUM(G105,L105))</f>
        <v>58050</v>
      </c>
      <c r="P105" s="253">
        <f>IF(ISBLANK($B105),"",SUM(H105,M105))</f>
        <v>34</v>
      </c>
      <c r="Q105" s="256">
        <v>14</v>
      </c>
      <c r="R105" s="241">
        <f>IF(P105="","",RANK(Q105,Q:Q,1))</f>
        <v>14</v>
      </c>
    </row>
    <row r="106" spans="1:18" ht="13.5" customHeight="1" thickBot="1">
      <c r="A106" s="260"/>
      <c r="B106" s="263"/>
      <c r="C106" s="63">
        <v>3392</v>
      </c>
      <c r="D106" s="64" t="str">
        <f>IF(ISBLANK($C106),"",INDEX('Výsledková listina'!PRINT_AREA,MATCH($C106,'Výsledková listina'!$E:$E,0),2))</f>
        <v>Vymazal Petr</v>
      </c>
      <c r="E106" s="38">
        <f>IF(ISBLANK($C106),"",INDEX('Výsledková listina'!PRINT_AREA,MATCH($C106,'Výsledková listina'!$E:$E,0),8))</f>
        <v>7600</v>
      </c>
      <c r="F106" s="39">
        <f>IF(ISBLANK($C106),"",INDEX('Výsledková listina'!PRINT_AREA,MATCH($C106,'Výsledková listina'!$E:$E,0),9))</f>
        <v>8</v>
      </c>
      <c r="G106" s="266"/>
      <c r="H106" s="266"/>
      <c r="I106" s="269"/>
      <c r="J106" s="43">
        <f>IF(ISBLANK($C106),"",INDEX('Výsledková listina'!PRINT_AREA,MATCH($C106,'Výsledková listina'!$E:$E,0),12))</f>
        <v>9710</v>
      </c>
      <c r="K106" s="39">
        <f>IF(ISBLANK($C106),"",INDEX('Výsledková listina'!PRINT_AREA,MATCH($C106,'Výsledková listina'!$E:$E,0),13))</f>
        <v>7</v>
      </c>
      <c r="L106" s="266"/>
      <c r="M106" s="266"/>
      <c r="N106" s="269"/>
      <c r="O106" s="272"/>
      <c r="P106" s="254"/>
      <c r="Q106" s="257"/>
      <c r="R106" s="242"/>
    </row>
    <row r="107" spans="1:18" ht="13.5" customHeight="1" thickBot="1">
      <c r="A107" s="261"/>
      <c r="B107" s="264"/>
      <c r="C107" s="65">
        <v>3278</v>
      </c>
      <c r="D107" s="66" t="str">
        <f>IF(ISBLANK($C107),"",INDEX('Výsledková listina'!PRINT_AREA,MATCH($C107,'Výsledková listina'!$E:$E,0),2))</f>
        <v>Staněk Karel</v>
      </c>
      <c r="E107" s="43">
        <f>IF(ISBLANK($C107),"",INDEX('Výsledková listina'!PRINT_AREA,MATCH($C107,'Výsledková listina'!$E:$E,0),8))</f>
        <v>5700</v>
      </c>
      <c r="F107" s="44">
        <f>IF(ISBLANK($C107),"",INDEX('Výsledková listina'!PRINT_AREA,MATCH($C107,'Výsledková listina'!$E:$E,0),9))</f>
        <v>8</v>
      </c>
      <c r="G107" s="267"/>
      <c r="H107" s="267"/>
      <c r="I107" s="270"/>
      <c r="J107" s="43">
        <f>IF(ISBLANK($C107),"",INDEX('Výsledková listina'!PRINT_AREA,MATCH($C107,'Výsledková listina'!$E:$E,0),12))</f>
        <v>13380</v>
      </c>
      <c r="K107" s="44">
        <f>IF(ISBLANK($C107),"",INDEX('Výsledková listina'!PRINT_AREA,MATCH($C107,'Výsledková listina'!$E:$E,0),13))</f>
        <v>3</v>
      </c>
      <c r="L107" s="267"/>
      <c r="M107" s="267"/>
      <c r="N107" s="270"/>
      <c r="O107" s="273"/>
      <c r="P107" s="255"/>
      <c r="Q107" s="258"/>
      <c r="R107" s="243"/>
    </row>
    <row r="108" spans="1:18" ht="13.5" customHeight="1" thickBot="1">
      <c r="A108" s="283">
        <f>SUM(Q108)</f>
        <v>1</v>
      </c>
      <c r="B108" s="298" t="s">
        <v>287</v>
      </c>
      <c r="C108" s="110">
        <v>3467</v>
      </c>
      <c r="D108" s="111" t="str">
        <f>IF(ISBLANK($C108),"",INDEX('Výsledková listina'!PRINT_AREA,MATCH($C108,'Výsledková listina'!$E:$E,0),2))</f>
        <v>Maťak Martin</v>
      </c>
      <c r="E108" s="112">
        <f>IF(ISBLANK($C108),"",INDEX('Výsledková listina'!PRINT_AREA,MATCH($C108,'Výsledková listina'!$E:$E,0),8))</f>
        <v>25850</v>
      </c>
      <c r="F108" s="113">
        <f>IF(ISBLANK($C108),"",INDEX('Výsledková listina'!PRINT_AREA,MATCH($C108,'Výsledková listina'!$E:$E,0),9))</f>
        <v>1</v>
      </c>
      <c r="G108" s="301">
        <f>SUM(E108:E110)</f>
        <v>55275</v>
      </c>
      <c r="H108" s="301">
        <f>SUM(F108:F110)</f>
        <v>7</v>
      </c>
      <c r="I108" s="304">
        <f>RANK(H108,H:H,1)</f>
        <v>2</v>
      </c>
      <c r="J108" s="114">
        <f>IF(ISBLANK($C108),"",INDEX('Výsledková listina'!PRINT_AREA,MATCH($C108,'Výsledková listina'!$E:$E,0),12))</f>
        <v>15970</v>
      </c>
      <c r="K108" s="113">
        <f>IF(ISBLANK($C108),"",INDEX('Výsledková listina'!PRINT_AREA,MATCH($C108,'Výsledková listina'!$E:$E,0),13))</f>
        <v>1</v>
      </c>
      <c r="L108" s="301">
        <f>IF(ISBLANK($B108),"",SUM(J108:J110))</f>
        <v>55030</v>
      </c>
      <c r="M108" s="301">
        <f>IF(ISBLANK($B108),"",SUM(K108:K110))</f>
        <v>3</v>
      </c>
      <c r="N108" s="304">
        <f>IF(ISBLANK($B108),"",RANK(M108,M:M,1))</f>
        <v>1</v>
      </c>
      <c r="O108" s="307">
        <f>IF(ISBLANK($B108),"",SUM(G108,L108))</f>
        <v>110305</v>
      </c>
      <c r="P108" s="310">
        <f>IF(ISBLANK($B108),"",SUM(H108,M108))</f>
        <v>10</v>
      </c>
      <c r="Q108" s="280">
        <f>IF(O108="","",RANK(P108,P:P,1))</f>
        <v>1</v>
      </c>
      <c r="R108" s="250">
        <f>IF(P108="","",RANK(Q108,Q:Q,1))</f>
        <v>1</v>
      </c>
    </row>
    <row r="109" spans="1:18" ht="13.5" customHeight="1" thickBot="1">
      <c r="A109" s="284"/>
      <c r="B109" s="299"/>
      <c r="C109" s="115">
        <v>3052</v>
      </c>
      <c r="D109" s="116" t="str">
        <f>IF(ISBLANK($C109),"",INDEX('Výsledková listina'!PRINT_AREA,MATCH($C109,'Výsledková listina'!$E:$E,0),2))</f>
        <v>Černý Radek</v>
      </c>
      <c r="E109" s="117">
        <f>IF(ISBLANK($C109),"",INDEX('Výsledková listina'!PRINT_AREA,MATCH($C109,'Výsledková listina'!$E:$E,0),8))</f>
        <v>9660</v>
      </c>
      <c r="F109" s="118">
        <f>IF(ISBLANK($C109),"",INDEX('Výsledková listina'!PRINT_AREA,MATCH($C109,'Výsledková listina'!$E:$E,0),9))</f>
        <v>5</v>
      </c>
      <c r="G109" s="302"/>
      <c r="H109" s="302"/>
      <c r="I109" s="305"/>
      <c r="J109" s="114">
        <f>IF(ISBLANK($C109),"",INDEX('Výsledková listina'!PRINT_AREA,MATCH($C109,'Výsledková listina'!$E:$E,0),12))</f>
        <v>13360</v>
      </c>
      <c r="K109" s="118">
        <f>IF(ISBLANK($C109),"",INDEX('Výsledková listina'!PRINT_AREA,MATCH($C109,'Výsledková listina'!$E:$E,0),13))</f>
        <v>1</v>
      </c>
      <c r="L109" s="302"/>
      <c r="M109" s="302"/>
      <c r="N109" s="305"/>
      <c r="O109" s="308"/>
      <c r="P109" s="311"/>
      <c r="Q109" s="281"/>
      <c r="R109" s="251"/>
    </row>
    <row r="110" spans="1:18" ht="13.5" customHeight="1" thickBot="1">
      <c r="A110" s="285"/>
      <c r="B110" s="300"/>
      <c r="C110" s="119">
        <v>4241</v>
      </c>
      <c r="D110" s="120" t="str">
        <f>IF(ISBLANK($C110),"",INDEX('Výsledková listina'!PRINT_AREA,MATCH($C110,'Výsledková listina'!$E:$E,0),2))</f>
        <v>Zavřel Jan</v>
      </c>
      <c r="E110" s="114">
        <f>IF(ISBLANK($C110),"",INDEX('Výsledková listina'!PRINT_AREA,MATCH($C110,'Výsledková listina'!$E:$E,0),8))</f>
        <v>19765</v>
      </c>
      <c r="F110" s="121">
        <f>IF(ISBLANK($C110),"",INDEX('Výsledková listina'!PRINT_AREA,MATCH($C110,'Výsledková listina'!$E:$E,0),9))</f>
        <v>1</v>
      </c>
      <c r="G110" s="303"/>
      <c r="H110" s="303"/>
      <c r="I110" s="306"/>
      <c r="J110" s="114">
        <f>IF(ISBLANK($C110),"",INDEX('Výsledková listina'!PRINT_AREA,MATCH($C110,'Výsledková listina'!$E:$E,0),12))</f>
        <v>25700</v>
      </c>
      <c r="K110" s="121">
        <f>IF(ISBLANK($C110),"",INDEX('Výsledková listina'!PRINT_AREA,MATCH($C110,'Výsledková listina'!$E:$E,0),13))</f>
        <v>1</v>
      </c>
      <c r="L110" s="303"/>
      <c r="M110" s="303"/>
      <c r="N110" s="306"/>
      <c r="O110" s="309"/>
      <c r="P110" s="312"/>
      <c r="Q110" s="282"/>
      <c r="R110" s="252"/>
    </row>
    <row r="111" spans="1:18" ht="13.5" customHeight="1" thickBot="1">
      <c r="A111" s="259">
        <f>SUM(Q111)</f>
        <v>20</v>
      </c>
      <c r="B111" s="262" t="s">
        <v>349</v>
      </c>
      <c r="C111" s="61">
        <v>4056</v>
      </c>
      <c r="D111" s="62" t="str">
        <f>IF(ISBLANK($C111),"",INDEX('Výsledková listina'!PRINT_AREA,MATCH($C111,'Výsledková listina'!$E:$E,0),2))</f>
        <v>Tvarůžek Miroslav</v>
      </c>
      <c r="E111" s="36">
        <f>IF(ISBLANK($C111),"",INDEX('Výsledková listina'!PRINT_AREA,MATCH($C111,'Výsledková listina'!$E:$E,0),8))</f>
        <v>11005</v>
      </c>
      <c r="F111" s="37">
        <f>IF(ISBLANK($C111),"",INDEX('Výsledková listina'!PRINT_AREA,MATCH($C111,'Výsledková listina'!$E:$E,0),9))</f>
        <v>6</v>
      </c>
      <c r="G111" s="265">
        <f>SUM(E111:E113)</f>
        <v>25660</v>
      </c>
      <c r="H111" s="265">
        <f>SUM(F111:F113)</f>
        <v>25</v>
      </c>
      <c r="I111" s="268">
        <f>RANK(H111,H:H,1)</f>
        <v>23</v>
      </c>
      <c r="J111" s="43">
        <f>IF(ISBLANK($C111),"",INDEX('Výsledková listina'!PRINT_AREA,MATCH($C111,'Výsledková listina'!$E:$E,0),12))</f>
        <v>11700</v>
      </c>
      <c r="K111" s="37">
        <f>IF(ISBLANK($C111),"",INDEX('Výsledková listina'!PRINT_AREA,MATCH($C111,'Výsledková listina'!$E:$E,0),13))</f>
        <v>3</v>
      </c>
      <c r="L111" s="265">
        <f>IF(ISBLANK($B111),"",SUM(J111:J113))</f>
        <v>27180</v>
      </c>
      <c r="M111" s="265">
        <f>IF(ISBLANK($B111),"",SUM(K111:K113))</f>
        <v>19</v>
      </c>
      <c r="N111" s="268">
        <f>IF(ISBLANK($B111),"",RANK(M111,M:M,1))</f>
        <v>13</v>
      </c>
      <c r="O111" s="271">
        <f>IF(ISBLANK($B111),"",SUM(G111,L111))</f>
        <v>52840</v>
      </c>
      <c r="P111" s="253">
        <f>IF(ISBLANK($B111),"",SUM(H111,M111))</f>
        <v>44</v>
      </c>
      <c r="Q111" s="256">
        <f>IF(O111="","",RANK(P111,P:P,1))</f>
        <v>20</v>
      </c>
      <c r="R111" s="241">
        <f>IF(P111="","",RANK(Q111,Q:Q,1))</f>
        <v>20</v>
      </c>
    </row>
    <row r="112" spans="1:18" ht="13.5" customHeight="1" thickBot="1">
      <c r="A112" s="260"/>
      <c r="B112" s="263"/>
      <c r="C112" s="63">
        <v>2327</v>
      </c>
      <c r="D112" s="64" t="str">
        <f>IF(ISBLANK($C112),"",INDEX('Výsledková listina'!PRINT_AREA,MATCH($C112,'Výsledková listina'!$E:$E,0),2))</f>
        <v>Douša Jan</v>
      </c>
      <c r="E112" s="38">
        <f>IF(ISBLANK($C112),"",INDEX('Výsledková listina'!PRINT_AREA,MATCH($C112,'Výsledková listina'!$E:$E,0),8))</f>
        <v>8640</v>
      </c>
      <c r="F112" s="39">
        <f>IF(ISBLANK($C112),"",INDEX('Výsledková listina'!PRINT_AREA,MATCH($C112,'Výsledková listina'!$E:$E,0),9))</f>
        <v>9</v>
      </c>
      <c r="G112" s="266"/>
      <c r="H112" s="266"/>
      <c r="I112" s="269"/>
      <c r="J112" s="43">
        <f>IF(ISBLANK($C112),"",INDEX('Výsledková listina'!PRINT_AREA,MATCH($C112,'Výsledková listina'!$E:$E,0),12))</f>
        <v>7660</v>
      </c>
      <c r="K112" s="39">
        <f>IF(ISBLANK($C112),"",INDEX('Výsledková listina'!PRINT_AREA,MATCH($C112,'Výsledková listina'!$E:$E,0),13))</f>
        <v>4</v>
      </c>
      <c r="L112" s="266"/>
      <c r="M112" s="266"/>
      <c r="N112" s="269"/>
      <c r="O112" s="272"/>
      <c r="P112" s="254"/>
      <c r="Q112" s="257"/>
      <c r="R112" s="242"/>
    </row>
    <row r="113" spans="1:18" ht="13.5" customHeight="1" thickBot="1">
      <c r="A113" s="261"/>
      <c r="B113" s="264"/>
      <c r="C113" s="65">
        <v>1086</v>
      </c>
      <c r="D113" s="66" t="str">
        <f>IF(ISBLANK($C113),"",INDEX('Výsledková listina'!PRINT_AREA,MATCH($C113,'Výsledková listina'!$E:$E,0),2))</f>
        <v>Kuchař Petr</v>
      </c>
      <c r="E113" s="43">
        <f>IF(ISBLANK($C113),"",INDEX('Výsledková listina'!PRINT_AREA,MATCH($C113,'Výsledková listina'!$E:$E,0),8))</f>
        <v>6015</v>
      </c>
      <c r="F113" s="44">
        <f>IF(ISBLANK($C113),"",INDEX('Výsledková listina'!PRINT_AREA,MATCH($C113,'Výsledková listina'!$E:$E,0),9))</f>
        <v>10</v>
      </c>
      <c r="G113" s="267"/>
      <c r="H113" s="267"/>
      <c r="I113" s="270"/>
      <c r="J113" s="43">
        <f>IF(ISBLANK($C113),"",INDEX('Výsledková listina'!PRINT_AREA,MATCH($C113,'Výsledková listina'!$E:$E,0),12))</f>
        <v>7820</v>
      </c>
      <c r="K113" s="44">
        <f>IF(ISBLANK($C113),"",INDEX('Výsledková listina'!PRINT_AREA,MATCH($C113,'Výsledková listina'!$E:$E,0),13))</f>
        <v>12</v>
      </c>
      <c r="L113" s="267"/>
      <c r="M113" s="267"/>
      <c r="N113" s="270"/>
      <c r="O113" s="273"/>
      <c r="P113" s="255"/>
      <c r="Q113" s="258"/>
      <c r="R113" s="243"/>
    </row>
    <row r="114" spans="1:18" ht="13.5" customHeight="1" thickBot="1">
      <c r="A114" s="283">
        <f>SUM(Q114)</f>
        <v>2</v>
      </c>
      <c r="B114" s="286" t="s">
        <v>302</v>
      </c>
      <c r="C114" s="122">
        <v>3379</v>
      </c>
      <c r="D114" s="123" t="str">
        <f>IF(ISBLANK($C114),"",INDEX('Výsledková listina'!PRINT_AREA,MATCH($C114,'Výsledková listina'!$E:$E,0),2))</f>
        <v>Kameník Jaroslav</v>
      </c>
      <c r="E114" s="124">
        <f>IF(ISBLANK($C114),"",INDEX('Výsledková listina'!PRINT_AREA,MATCH($C114,'Výsledková listina'!$E:$E,0),8))</f>
        <v>18670</v>
      </c>
      <c r="F114" s="125">
        <f>IF(ISBLANK($C114),"",INDEX('Výsledková listina'!PRINT_AREA,MATCH($C114,'Výsledková listina'!$E:$E,0),9))</f>
        <v>3</v>
      </c>
      <c r="G114" s="289">
        <f>SUM(E114:E116)</f>
        <v>43120</v>
      </c>
      <c r="H114" s="289">
        <f>SUM(F114:F116)</f>
        <v>11</v>
      </c>
      <c r="I114" s="292">
        <f>RANK(H114,H:H,1)</f>
        <v>4</v>
      </c>
      <c r="J114" s="126">
        <f>IF(ISBLANK($C114),"",INDEX('Výsledková listina'!PRINT_AREA,MATCH($C114,'Výsledková listina'!$E:$E,0),12))</f>
        <v>11440</v>
      </c>
      <c r="K114" s="125">
        <f>IF(ISBLANK($C114),"",INDEX('Výsledková listina'!PRINT_AREA,MATCH($C114,'Výsledková listina'!$E:$E,0),13))</f>
        <v>2</v>
      </c>
      <c r="L114" s="289">
        <f>IF(ISBLANK($B114),"",SUM(J114:J116))</f>
        <v>40910</v>
      </c>
      <c r="M114" s="289">
        <f>IF(ISBLANK($B114),"",SUM(K114:K116))</f>
        <v>8</v>
      </c>
      <c r="N114" s="292">
        <f>IF(ISBLANK($B114),"",RANK(M114,M:M,1))</f>
        <v>2</v>
      </c>
      <c r="O114" s="295">
        <f>IF(ISBLANK($B114),"",SUM(G114,L114))</f>
        <v>84030</v>
      </c>
      <c r="P114" s="277">
        <f>IF(ISBLANK($B114),"",SUM(H114,M114))</f>
        <v>19</v>
      </c>
      <c r="Q114" s="280">
        <f>IF(O114="","",RANK(P114,P:P,1))</f>
        <v>2</v>
      </c>
      <c r="R114" s="247">
        <f>IF(P114="","",RANK(Q114,Q:Q,1))</f>
        <v>2</v>
      </c>
    </row>
    <row r="115" spans="1:18" ht="13.5" customHeight="1" thickBot="1">
      <c r="A115" s="284"/>
      <c r="B115" s="287"/>
      <c r="C115" s="127">
        <v>4073</v>
      </c>
      <c r="D115" s="128" t="str">
        <f>IF(ISBLANK($C115),"",INDEX('Výsledková listina'!PRINT_AREA,MATCH($C115,'Výsledková listina'!$E:$E,0),2))</f>
        <v>Velebný Pavel</v>
      </c>
      <c r="E115" s="129">
        <f>IF(ISBLANK($C115),"",INDEX('Výsledková listina'!PRINT_AREA,MATCH($C115,'Výsledková listina'!$E:$E,0),8))</f>
        <v>13640</v>
      </c>
      <c r="F115" s="130">
        <f>IF(ISBLANK($C115),"",INDEX('Výsledková listina'!PRINT_AREA,MATCH($C115,'Výsledková listina'!$E:$E,0),9))</f>
        <v>1</v>
      </c>
      <c r="G115" s="290"/>
      <c r="H115" s="290"/>
      <c r="I115" s="293"/>
      <c r="J115" s="126">
        <f>IF(ISBLANK($C115),"",INDEX('Výsledková listina'!PRINT_AREA,MATCH($C115,'Výsledková listina'!$E:$E,0),12))</f>
        <v>24590</v>
      </c>
      <c r="K115" s="130">
        <f>IF(ISBLANK($C115),"",INDEX('Výsledková listina'!PRINT_AREA,MATCH($C115,'Výsledková listina'!$E:$E,0),13))</f>
        <v>1</v>
      </c>
      <c r="L115" s="290"/>
      <c r="M115" s="290"/>
      <c r="N115" s="293"/>
      <c r="O115" s="296"/>
      <c r="P115" s="278"/>
      <c r="Q115" s="281"/>
      <c r="R115" s="248"/>
    </row>
    <row r="116" spans="1:18" ht="13.5" customHeight="1" thickBot="1">
      <c r="A116" s="285"/>
      <c r="B116" s="288"/>
      <c r="C116" s="131">
        <v>3380</v>
      </c>
      <c r="D116" s="132" t="str">
        <f>IF(ISBLANK($C116),"",INDEX('Výsledková listina'!PRINT_AREA,MATCH($C116,'Výsledková listina'!$E:$E,0),2))</f>
        <v>Šetina Michal</v>
      </c>
      <c r="E116" s="126">
        <f>IF(ISBLANK($C116),"",INDEX('Výsledková listina'!PRINT_AREA,MATCH($C116,'Výsledková listina'!$E:$E,0),8))</f>
        <v>10810</v>
      </c>
      <c r="F116" s="133">
        <f>IF(ISBLANK($C116),"",INDEX('Výsledková listina'!PRINT_AREA,MATCH($C116,'Výsledková listina'!$E:$E,0),9))</f>
        <v>7</v>
      </c>
      <c r="G116" s="291"/>
      <c r="H116" s="291"/>
      <c r="I116" s="294"/>
      <c r="J116" s="126">
        <f>IF(ISBLANK($C116),"",INDEX('Výsledková listina'!PRINT_AREA,MATCH($C116,'Výsledková listina'!$E:$E,0),12))</f>
        <v>4880</v>
      </c>
      <c r="K116" s="133">
        <f>IF(ISBLANK($C116),"",INDEX('Výsledková listina'!PRINT_AREA,MATCH($C116,'Výsledková listina'!$E:$E,0),13))</f>
        <v>5</v>
      </c>
      <c r="L116" s="291"/>
      <c r="M116" s="291"/>
      <c r="N116" s="294"/>
      <c r="O116" s="297"/>
      <c r="P116" s="279"/>
      <c r="Q116" s="282"/>
      <c r="R116" s="249"/>
    </row>
    <row r="117" spans="1:18" ht="13.5" customHeight="1" thickBot="1">
      <c r="A117" s="259">
        <f>SUM(Q117)</f>
        <v>36</v>
      </c>
      <c r="B117" s="262" t="s">
        <v>303</v>
      </c>
      <c r="C117" s="61">
        <v>6915</v>
      </c>
      <c r="D117" s="62" t="str">
        <f>IF(ISBLANK($C117),"",INDEX('Výsledková listina'!PRINT_AREA,MATCH($C117,'Výsledková listina'!$E:$E,0),2))</f>
        <v>Mlčák Luboš</v>
      </c>
      <c r="E117" s="36">
        <f>IF(ISBLANK($C117),"",INDEX('Výsledková listina'!PRINT_AREA,MATCH($C117,'Výsledková listina'!$E:$E,0),8))</f>
        <v>8985</v>
      </c>
      <c r="F117" s="37">
        <f>IF(ISBLANK($C117),"",INDEX('Výsledková listina'!PRINT_AREA,MATCH($C117,'Výsledková listina'!$E:$E,0),9))</f>
        <v>8</v>
      </c>
      <c r="G117" s="265">
        <f>SUM(E117:E119)</f>
        <v>20805</v>
      </c>
      <c r="H117" s="265">
        <f>SUM(F117:F119)</f>
        <v>32.5</v>
      </c>
      <c r="I117" s="268">
        <f>RANK(H117,H:H,1)</f>
        <v>35</v>
      </c>
      <c r="J117" s="43">
        <f>IF(ISBLANK($C117),"",INDEX('Výsledková listina'!PRINT_AREA,MATCH($C117,'Výsledková listina'!$E:$E,0),12))</f>
        <v>6160</v>
      </c>
      <c r="K117" s="37">
        <f>IF(ISBLANK($C117),"",INDEX('Výsledková listina'!PRINT_AREA,MATCH($C117,'Výsledková listina'!$E:$E,0),13))</f>
        <v>7</v>
      </c>
      <c r="L117" s="265">
        <f>IF(ISBLANK($B117),"",SUM(J117:J119))</f>
        <v>17590</v>
      </c>
      <c r="M117" s="265">
        <f>IF(ISBLANK($B117),"",SUM(K117:K119))</f>
        <v>32</v>
      </c>
      <c r="N117" s="268">
        <f>IF(ISBLANK($B117),"",RANK(M117,M:M,1))</f>
        <v>34</v>
      </c>
      <c r="O117" s="271">
        <f>IF(ISBLANK($B117),"",SUM(G117,L117))</f>
        <v>38395</v>
      </c>
      <c r="P117" s="253">
        <f>IF(ISBLANK($B117),"",SUM(H117,M117))</f>
        <v>64.5</v>
      </c>
      <c r="Q117" s="256">
        <f>IF(O117="","",RANK(P117,P:P,1))</f>
        <v>36</v>
      </c>
      <c r="R117" s="241">
        <f>IF(P117="","",RANK(Q117,Q:Q,1))</f>
        <v>36</v>
      </c>
    </row>
    <row r="118" spans="1:18" ht="13.5" customHeight="1" thickBot="1">
      <c r="A118" s="260"/>
      <c r="B118" s="263"/>
      <c r="C118" s="63">
        <v>6916</v>
      </c>
      <c r="D118" s="64" t="str">
        <f>IF(ISBLANK($C118),"",INDEX('Výsledková listina'!PRINT_AREA,MATCH($C118,'Výsledková listina'!$E:$E,0),2))</f>
        <v>Košina Pavel</v>
      </c>
      <c r="E118" s="38">
        <f>IF(ISBLANK($C118),"",INDEX('Výsledková listina'!PRINT_AREA,MATCH($C118,'Výsledková listina'!$E:$E,0),8))</f>
        <v>9600</v>
      </c>
      <c r="F118" s="39">
        <f>IF(ISBLANK($C118),"",INDEX('Výsledková listina'!PRINT_AREA,MATCH($C118,'Výsledková listina'!$E:$E,0),9))</f>
        <v>9</v>
      </c>
      <c r="G118" s="266"/>
      <c r="H118" s="266"/>
      <c r="I118" s="269"/>
      <c r="J118" s="43">
        <f>IF(ISBLANK($C118),"",INDEX('Výsledková listina'!PRINT_AREA,MATCH($C118,'Výsledková listina'!$E:$E,0),12))</f>
        <v>6530</v>
      </c>
      <c r="K118" s="39">
        <f>IF(ISBLANK($C118),"",INDEX('Výsledková listina'!PRINT_AREA,MATCH($C118,'Výsledková listina'!$E:$E,0),13))</f>
        <v>10</v>
      </c>
      <c r="L118" s="266"/>
      <c r="M118" s="266"/>
      <c r="N118" s="269"/>
      <c r="O118" s="272"/>
      <c r="P118" s="254"/>
      <c r="Q118" s="257"/>
      <c r="R118" s="242"/>
    </row>
    <row r="119" spans="1:18" ht="13.5" customHeight="1" thickBot="1">
      <c r="A119" s="261"/>
      <c r="B119" s="264"/>
      <c r="C119" s="65">
        <v>6698</v>
      </c>
      <c r="D119" s="66" t="str">
        <f>IF(ISBLANK($C119),"",INDEX('Výsledková listina'!PRINT_AREA,MATCH($C119,'Výsledková listina'!$E:$E,0),2))</f>
        <v>Krakowitzer Jiří</v>
      </c>
      <c r="E119" s="43">
        <f>IF(ISBLANK($C119),"",INDEX('Výsledková listina'!PRINT_AREA,MATCH($C119,'Výsledková listina'!$E:$E,0),8))</f>
        <v>2220</v>
      </c>
      <c r="F119" s="44">
        <f>IF(ISBLANK($C119),"",INDEX('Výsledková listina'!PRINT_AREA,MATCH($C119,'Výsledková listina'!$E:$E,0),9))</f>
        <v>15.5</v>
      </c>
      <c r="G119" s="267"/>
      <c r="H119" s="267"/>
      <c r="I119" s="270"/>
      <c r="J119" s="43">
        <f>IF(ISBLANK($C119),"",INDEX('Výsledková listina'!PRINT_AREA,MATCH($C119,'Výsledková listina'!$E:$E,0),12))</f>
        <v>4900</v>
      </c>
      <c r="K119" s="44">
        <f>IF(ISBLANK($C119),"",INDEX('Výsledková listina'!PRINT_AREA,MATCH($C119,'Výsledková listina'!$E:$E,0),13))</f>
        <v>15</v>
      </c>
      <c r="L119" s="267"/>
      <c r="M119" s="267"/>
      <c r="N119" s="270"/>
      <c r="O119" s="273"/>
      <c r="P119" s="255"/>
      <c r="Q119" s="258"/>
      <c r="R119" s="243"/>
    </row>
    <row r="120" spans="1:18" ht="13.5" customHeight="1" thickBot="1">
      <c r="A120" s="259">
        <f>SUM(Q120)</f>
        <v>17</v>
      </c>
      <c r="B120" s="262" t="s">
        <v>317</v>
      </c>
      <c r="C120" s="61">
        <v>5356</v>
      </c>
      <c r="D120" s="62" t="str">
        <f>IF(ISBLANK($C120),"",INDEX('Výsledková listina'!PRINT_AREA,MATCH($C120,'Výsledková listina'!$E:$E,0),2))</f>
        <v>Černý Tomáš st.</v>
      </c>
      <c r="E120" s="36">
        <f>IF(ISBLANK($C120),"",INDEX('Výsledková listina'!PRINT_AREA,MATCH($C120,'Výsledková listina'!$E:$E,0),8))</f>
        <v>9265</v>
      </c>
      <c r="F120" s="37">
        <f>IF(ISBLANK($C120),"",INDEX('Výsledková listina'!PRINT_AREA,MATCH($C120,'Výsledková listina'!$E:$E,0),9))</f>
        <v>7</v>
      </c>
      <c r="G120" s="265">
        <f>SUM(E120:E122)</f>
        <v>41845</v>
      </c>
      <c r="H120" s="265">
        <f>SUM(F120:F122)</f>
        <v>13</v>
      </c>
      <c r="I120" s="268">
        <f>RANK(H120,H:H,1)</f>
        <v>7</v>
      </c>
      <c r="J120" s="43">
        <f>IF(ISBLANK($C120),"",INDEX('Výsledková listina'!PRINT_AREA,MATCH($C120,'Výsledková listina'!$E:$E,0),12))</f>
        <v>13450</v>
      </c>
      <c r="K120" s="37">
        <f>IF(ISBLANK($C120),"",INDEX('Výsledková listina'!PRINT_AREA,MATCH($C120,'Výsledková listina'!$E:$E,0),13))</f>
        <v>2</v>
      </c>
      <c r="L120" s="265">
        <f>IF(ISBLANK($B120),"",SUM(J120:J122))</f>
        <v>22100</v>
      </c>
      <c r="M120" s="265">
        <f>IF(ISBLANK($B120),"",SUM(K120:K122))</f>
        <v>26.5</v>
      </c>
      <c r="N120" s="268">
        <f>IF(ISBLANK($B120),"",RANK(M120,M:M,1))</f>
        <v>26</v>
      </c>
      <c r="O120" s="271">
        <f>IF(ISBLANK($B120),"",SUM(G120,L120))</f>
        <v>63945</v>
      </c>
      <c r="P120" s="253">
        <f>IF(ISBLANK($B120),"",SUM(H120,M120))</f>
        <v>39.5</v>
      </c>
      <c r="Q120" s="256">
        <f>IF(O120="","",RANK(P120,P:P,1))</f>
        <v>17</v>
      </c>
      <c r="R120" s="241">
        <f>IF(P120="","",RANK(Q120,Q:Q,1))</f>
        <v>17</v>
      </c>
    </row>
    <row r="121" spans="1:18" ht="13.5" customHeight="1" thickBot="1">
      <c r="A121" s="260"/>
      <c r="B121" s="263"/>
      <c r="C121" s="63">
        <v>5532</v>
      </c>
      <c r="D121" s="64" t="str">
        <f>IF(ISBLANK($C121),"",INDEX('Výsledková listina'!PRINT_AREA,MATCH($C121,'Výsledková listina'!$E:$E,0),2))</f>
        <v>Černý Tomáš ml.</v>
      </c>
      <c r="E121" s="38">
        <f>IF(ISBLANK($C121),"",INDEX('Výsledková listina'!PRINT_AREA,MATCH($C121,'Výsledková listina'!$E:$E,0),8))</f>
        <v>21350</v>
      </c>
      <c r="F121" s="39">
        <f>IF(ISBLANK($C121),"",INDEX('Výsledková listina'!PRINT_AREA,MATCH($C121,'Výsledková listina'!$E:$E,0),9))</f>
        <v>3</v>
      </c>
      <c r="G121" s="266"/>
      <c r="H121" s="266"/>
      <c r="I121" s="269"/>
      <c r="J121" s="43">
        <f>IF(ISBLANK($C121),"",INDEX('Výsledková listina'!PRINT_AREA,MATCH($C121,'Výsledková listina'!$E:$E,0),12))</f>
        <v>1040</v>
      </c>
      <c r="K121" s="39">
        <f>IF(ISBLANK($C121),"",INDEX('Výsledková listina'!PRINT_AREA,MATCH($C121,'Výsledková listina'!$E:$E,0),13))</f>
        <v>15</v>
      </c>
      <c r="L121" s="266"/>
      <c r="M121" s="266"/>
      <c r="N121" s="269"/>
      <c r="O121" s="272"/>
      <c r="P121" s="254"/>
      <c r="Q121" s="257"/>
      <c r="R121" s="242"/>
    </row>
    <row r="122" spans="1:18" ht="13.5" customHeight="1" thickBot="1">
      <c r="A122" s="261"/>
      <c r="B122" s="264"/>
      <c r="C122" s="65">
        <v>1106</v>
      </c>
      <c r="D122" s="66" t="str">
        <f>IF(ISBLANK($C122),"",INDEX('Výsledková listina'!PRINT_AREA,MATCH($C122,'Výsledková listina'!$E:$E,0),2))</f>
        <v>Rada Milan</v>
      </c>
      <c r="E122" s="43">
        <f>IF(ISBLANK($C122),"",INDEX('Výsledková listina'!PRINT_AREA,MATCH($C122,'Výsledková listina'!$E:$E,0),8))</f>
        <v>11230</v>
      </c>
      <c r="F122" s="44">
        <f>IF(ISBLANK($C122),"",INDEX('Výsledková listina'!PRINT_AREA,MATCH($C122,'Výsledková listina'!$E:$E,0),9))</f>
        <v>3</v>
      </c>
      <c r="G122" s="267"/>
      <c r="H122" s="267"/>
      <c r="I122" s="270"/>
      <c r="J122" s="43">
        <f>IF(ISBLANK($C122),"",INDEX('Výsledková listina'!PRINT_AREA,MATCH($C122,'Výsledková listina'!$E:$E,0),12))</f>
        <v>7610</v>
      </c>
      <c r="K122" s="44">
        <f>IF(ISBLANK($C122),"",INDEX('Výsledková listina'!PRINT_AREA,MATCH($C122,'Výsledková listina'!$E:$E,0),13))</f>
        <v>9.5</v>
      </c>
      <c r="L122" s="267"/>
      <c r="M122" s="267"/>
      <c r="N122" s="270"/>
      <c r="O122" s="273"/>
      <c r="P122" s="255"/>
      <c r="Q122" s="258"/>
      <c r="R122" s="243"/>
    </row>
    <row r="123" spans="1:18" ht="13.5" customHeight="1" thickBot="1">
      <c r="A123" s="259">
        <f>SUM(Q123)</f>
        <v>7</v>
      </c>
      <c r="B123" s="262" t="s">
        <v>328</v>
      </c>
      <c r="C123" s="61">
        <v>4005</v>
      </c>
      <c r="D123" s="62" t="str">
        <f>IF(ISBLANK($C123),"",INDEX('Výsledková listina'!PRINT_AREA,MATCH($C123,'Výsledková listina'!$E:$E,0),2))</f>
        <v>Radil Miroslav</v>
      </c>
      <c r="E123" s="36">
        <f>IF(ISBLANK($C123),"",INDEX('Výsledková listina'!PRINT_AREA,MATCH($C123,'Výsledková listina'!$E:$E,0),8))</f>
        <v>10400</v>
      </c>
      <c r="F123" s="37">
        <f>IF(ISBLANK($C123),"",INDEX('Výsledková listina'!PRINT_AREA,MATCH($C123,'Výsledková listina'!$E:$E,0),9))</f>
        <v>4</v>
      </c>
      <c r="G123" s="265">
        <f>SUM(E123:E125)</f>
        <v>25050</v>
      </c>
      <c r="H123" s="265">
        <f>SUM(F123:F125)</f>
        <v>20.5</v>
      </c>
      <c r="I123" s="268">
        <f>RANK(H123,H:H,1)</f>
        <v>16</v>
      </c>
      <c r="J123" s="43">
        <f>IF(ISBLANK($C123),"",INDEX('Výsledková listina'!PRINT_AREA,MATCH($C123,'Výsledková listina'!$E:$E,0),12))</f>
        <v>20680</v>
      </c>
      <c r="K123" s="37">
        <f>IF(ISBLANK($C123),"",INDEX('Výsledková listina'!PRINT_AREA,MATCH($C123,'Výsledková listina'!$E:$E,0),13))</f>
        <v>2</v>
      </c>
      <c r="L123" s="265">
        <f>IF(ISBLANK($B123),"",SUM(J123:J125))</f>
        <v>37320</v>
      </c>
      <c r="M123" s="265">
        <f>IF(ISBLANK($B123),"",SUM(K123:K125))</f>
        <v>11</v>
      </c>
      <c r="N123" s="268">
        <f>IF(ISBLANK($B123),"",RANK(M123,M:M,1))</f>
        <v>4</v>
      </c>
      <c r="O123" s="271">
        <f>IF(ISBLANK($B123),"",SUM(G123,L123))</f>
        <v>62370</v>
      </c>
      <c r="P123" s="253">
        <f>IF(ISBLANK($B123),"",SUM(H123,M123))</f>
        <v>31.5</v>
      </c>
      <c r="Q123" s="274">
        <f>IF(O123="","",RANK(P123,P:P,1))</f>
        <v>7</v>
      </c>
      <c r="R123" s="244">
        <f>IF(P123="","",RANK(Q123,Q:Q,1))</f>
        <v>7</v>
      </c>
    </row>
    <row r="124" spans="1:18" ht="13.5" customHeight="1" thickBot="1">
      <c r="A124" s="260"/>
      <c r="B124" s="263"/>
      <c r="C124" s="63">
        <v>4109</v>
      </c>
      <c r="D124" s="64" t="str">
        <f>IF(ISBLANK($C124),"",INDEX('Výsledková listina'!PRINT_AREA,MATCH($C124,'Výsledková listina'!$E:$E,0),2))</f>
        <v>Rajdl Jaroslav</v>
      </c>
      <c r="E124" s="38">
        <f>IF(ISBLANK($C124),"",INDEX('Výsledková listina'!PRINT_AREA,MATCH($C124,'Výsledková listina'!$E:$E,0),8))</f>
        <v>7370</v>
      </c>
      <c r="F124" s="39">
        <f>IF(ISBLANK($C124),"",INDEX('Výsledková listina'!PRINT_AREA,MATCH($C124,'Výsledková listina'!$E:$E,0),9))</f>
        <v>6</v>
      </c>
      <c r="G124" s="266"/>
      <c r="H124" s="266"/>
      <c r="I124" s="269"/>
      <c r="J124" s="43">
        <f>IF(ISBLANK($C124),"",INDEX('Výsledková listina'!PRINT_AREA,MATCH($C124,'Výsledková listina'!$E:$E,0),12))</f>
        <v>6180</v>
      </c>
      <c r="K124" s="39">
        <f>IF(ISBLANK($C124),"",INDEX('Výsledková listina'!PRINT_AREA,MATCH($C124,'Výsledková listina'!$E:$E,0),13))</f>
        <v>2</v>
      </c>
      <c r="L124" s="266"/>
      <c r="M124" s="266"/>
      <c r="N124" s="269"/>
      <c r="O124" s="272"/>
      <c r="P124" s="254"/>
      <c r="Q124" s="275"/>
      <c r="R124" s="245"/>
    </row>
    <row r="125" spans="1:18" ht="13.5" customHeight="1" thickBot="1">
      <c r="A125" s="261"/>
      <c r="B125" s="264"/>
      <c r="C125" s="65">
        <v>2259</v>
      </c>
      <c r="D125" s="66" t="str">
        <f>IF(ISBLANK($C125),"",INDEX('Výsledková listina'!PRINT_AREA,MATCH($C125,'Výsledková listina'!$E:$E,0),2))</f>
        <v>Bromovský Petr</v>
      </c>
      <c r="E125" s="43">
        <f>IF(ISBLANK($C125),"",INDEX('Výsledková listina'!PRINT_AREA,MATCH($C125,'Výsledková listina'!$E:$E,0),8))</f>
        <v>7280</v>
      </c>
      <c r="F125" s="44">
        <f>IF(ISBLANK($C125),"",INDEX('Výsledková listina'!PRINT_AREA,MATCH($C125,'Výsledková listina'!$E:$E,0),9))</f>
        <v>10.5</v>
      </c>
      <c r="G125" s="267"/>
      <c r="H125" s="267"/>
      <c r="I125" s="270"/>
      <c r="J125" s="43">
        <f>IF(ISBLANK($C125),"",INDEX('Výsledková listina'!PRINT_AREA,MATCH($C125,'Výsledková listina'!$E:$E,0),12))</f>
        <v>10460</v>
      </c>
      <c r="K125" s="44">
        <f>IF(ISBLANK($C125),"",INDEX('Výsledková listina'!PRINT_AREA,MATCH($C125,'Výsledková listina'!$E:$E,0),13))</f>
        <v>7</v>
      </c>
      <c r="L125" s="267"/>
      <c r="M125" s="267"/>
      <c r="N125" s="270"/>
      <c r="O125" s="273"/>
      <c r="P125" s="255"/>
      <c r="Q125" s="276"/>
      <c r="R125" s="246"/>
    </row>
    <row r="126" spans="1:18" ht="13.5" customHeight="1" thickBot="1">
      <c r="A126" s="259">
        <f>SUM(Q126)</f>
        <v>24</v>
      </c>
      <c r="B126" s="262" t="s">
        <v>329</v>
      </c>
      <c r="C126" s="61">
        <v>1863</v>
      </c>
      <c r="D126" s="62" t="str">
        <f>IF(ISBLANK($C126),"",INDEX('Výsledková listina'!PRINT_AREA,MATCH($C126,'Výsledková listina'!$E:$E,0),2))</f>
        <v>Novák Jan</v>
      </c>
      <c r="E126" s="36">
        <f>IF(ISBLANK($C126),"",INDEX('Výsledková listina'!PRINT_AREA,MATCH($C126,'Výsledková listina'!$E:$E,0),8))</f>
        <v>5540</v>
      </c>
      <c r="F126" s="37">
        <f>IF(ISBLANK($C126),"",INDEX('Výsledková listina'!PRINT_AREA,MATCH($C126,'Výsledková listina'!$E:$E,0),9))</f>
        <v>9</v>
      </c>
      <c r="G126" s="265">
        <f>SUM(E126:E128)</f>
        <v>28670</v>
      </c>
      <c r="H126" s="265">
        <f>SUM(F126:F128)</f>
        <v>21</v>
      </c>
      <c r="I126" s="268">
        <f>RANK(H126,H:H,1)</f>
        <v>17</v>
      </c>
      <c r="J126" s="43">
        <f>IF(ISBLANK($C126),"",INDEX('Výsledková listina'!PRINT_AREA,MATCH($C126,'Výsledková listina'!$E:$E,0),12))</f>
        <v>0</v>
      </c>
      <c r="K126" s="37">
        <f>IF(ISBLANK($C126),"",INDEX('Výsledková listina'!PRINT_AREA,MATCH($C126,'Výsledková listina'!$E:$E,0),13))</f>
        <v>16</v>
      </c>
      <c r="L126" s="265">
        <f>IF(ISBLANK($B126),"",SUM(J126:J128))</f>
        <v>22300</v>
      </c>
      <c r="M126" s="265">
        <f>IF(ISBLANK($B126),"",SUM(K126:K128))</f>
        <v>29</v>
      </c>
      <c r="N126" s="268">
        <f>IF(ISBLANK($B126),"",RANK(M126,M:M,1))</f>
        <v>30</v>
      </c>
      <c r="O126" s="271">
        <f>IF(ISBLANK($B126),"",SUM(G126,L126))</f>
        <v>50970</v>
      </c>
      <c r="P126" s="253">
        <f>IF(ISBLANK($B126),"",SUM(H126,M126))</f>
        <v>50</v>
      </c>
      <c r="Q126" s="256">
        <f>IF(O126="","",RANK(P126,P:P,1))</f>
        <v>24</v>
      </c>
      <c r="R126" s="241">
        <f>IF(P126="","",RANK(Q126,Q:Q,1))</f>
        <v>24</v>
      </c>
    </row>
    <row r="127" spans="1:18" ht="13.5" customHeight="1" thickBot="1">
      <c r="A127" s="260"/>
      <c r="B127" s="263"/>
      <c r="C127" s="63">
        <v>3486</v>
      </c>
      <c r="D127" s="64" t="str">
        <f>IF(ISBLANK($C127),"",INDEX('Výsledková listina'!PRINT_AREA,MATCH($C127,'Výsledková listina'!$E:$E,0),2))</f>
        <v>Tichý Jan</v>
      </c>
      <c r="E127" s="38">
        <f>IF(ISBLANK($C127),"",INDEX('Výsledková listina'!PRINT_AREA,MATCH($C127,'Výsledková listina'!$E:$E,0),8))</f>
        <v>15450</v>
      </c>
      <c r="F127" s="39">
        <f>IF(ISBLANK($C127),"",INDEX('Výsledková listina'!PRINT_AREA,MATCH($C127,'Výsledková listina'!$E:$E,0),9))</f>
        <v>2</v>
      </c>
      <c r="G127" s="266"/>
      <c r="H127" s="266"/>
      <c r="I127" s="269"/>
      <c r="J127" s="43">
        <f>IF(ISBLANK($C127),"",INDEX('Výsledková listina'!PRINT_AREA,MATCH($C127,'Výsledková listina'!$E:$E,0),12))</f>
        <v>13050</v>
      </c>
      <c r="K127" s="39">
        <f>IF(ISBLANK($C127),"",INDEX('Výsledková listina'!PRINT_AREA,MATCH($C127,'Výsledková listina'!$E:$E,0),13))</f>
        <v>4</v>
      </c>
      <c r="L127" s="266"/>
      <c r="M127" s="266"/>
      <c r="N127" s="269"/>
      <c r="O127" s="272"/>
      <c r="P127" s="254"/>
      <c r="Q127" s="257"/>
      <c r="R127" s="242"/>
    </row>
    <row r="128" spans="1:18" ht="13.5" customHeight="1" thickBot="1">
      <c r="A128" s="261"/>
      <c r="B128" s="264"/>
      <c r="C128" s="65">
        <v>4878</v>
      </c>
      <c r="D128" s="66" t="str">
        <f>IF(ISBLANK($C128),"",INDEX('Výsledková listina'!PRINT_AREA,MATCH($C128,'Výsledková listina'!$E:$E,0),2))</f>
        <v>Tichý Rudolf</v>
      </c>
      <c r="E128" s="43">
        <f>IF(ISBLANK($C128),"",INDEX('Výsledková listina'!PRINT_AREA,MATCH($C128,'Výsledková listina'!$E:$E,0),8))</f>
        <v>7680</v>
      </c>
      <c r="F128" s="44">
        <f>IF(ISBLANK($C128),"",INDEX('Výsledková listina'!PRINT_AREA,MATCH($C128,'Výsledková listina'!$E:$E,0),9))</f>
        <v>10</v>
      </c>
      <c r="G128" s="267"/>
      <c r="H128" s="267"/>
      <c r="I128" s="270"/>
      <c r="J128" s="43">
        <f>IF(ISBLANK($C128),"",INDEX('Výsledková listina'!PRINT_AREA,MATCH($C128,'Výsledková listina'!$E:$E,0),12))</f>
        <v>9250</v>
      </c>
      <c r="K128" s="44">
        <f>IF(ISBLANK($C128),"",INDEX('Výsledková listina'!PRINT_AREA,MATCH($C128,'Výsledková listina'!$E:$E,0),13))</f>
        <v>9</v>
      </c>
      <c r="L128" s="267"/>
      <c r="M128" s="267"/>
      <c r="N128" s="270"/>
      <c r="O128" s="273"/>
      <c r="P128" s="255"/>
      <c r="Q128" s="258"/>
      <c r="R128" s="243"/>
    </row>
    <row r="129" spans="1:18" ht="13.5" customHeight="1" thickBot="1">
      <c r="A129" s="259">
        <f>SUM(Q129)</f>
        <v>29</v>
      </c>
      <c r="B129" s="262" t="s">
        <v>330</v>
      </c>
      <c r="C129" s="61">
        <v>3333</v>
      </c>
      <c r="D129" s="62" t="str">
        <f>IF(ISBLANK($C129),"",INDEX('Výsledková listina'!PRINT_AREA,MATCH($C129,'Výsledková listina'!$E:$E,0),2))</f>
        <v>Novák Zdeněk</v>
      </c>
      <c r="E129" s="36">
        <f>IF(ISBLANK($C129),"",INDEX('Výsledková listina'!PRINT_AREA,MATCH($C129,'Výsledková listina'!$E:$E,0),8))</f>
        <v>2770</v>
      </c>
      <c r="F129" s="37">
        <f>IF(ISBLANK($C129),"",INDEX('Výsledková listina'!PRINT_AREA,MATCH($C129,'Výsledková listina'!$E:$E,0),9))</f>
        <v>14</v>
      </c>
      <c r="G129" s="265">
        <f>SUM(E129:E131)</f>
        <v>21300</v>
      </c>
      <c r="H129" s="265">
        <f>SUM(F129:F131)</f>
        <v>30</v>
      </c>
      <c r="I129" s="268">
        <f>RANK(H129,H:H,1)</f>
        <v>30</v>
      </c>
      <c r="J129" s="43">
        <f>IF(ISBLANK($C129),"",INDEX('Výsledková listina'!PRINT_AREA,MATCH($C129,'Výsledková listina'!$E:$E,0),12))</f>
        <v>12340</v>
      </c>
      <c r="K129" s="37">
        <f>IF(ISBLANK($C129),"",INDEX('Výsledková listina'!PRINT_AREA,MATCH($C129,'Výsledková listina'!$E:$E,0),13))</f>
        <v>9</v>
      </c>
      <c r="L129" s="265">
        <f>IF(ISBLANK($B129),"",SUM(J129:J131))</f>
        <v>21300</v>
      </c>
      <c r="M129" s="265">
        <f>IF(ISBLANK($B129),"",SUM(K129:K131))</f>
        <v>27</v>
      </c>
      <c r="N129" s="268">
        <f>IF(ISBLANK($B129),"",RANK(M129,M:M,1))</f>
        <v>28</v>
      </c>
      <c r="O129" s="271">
        <f>IF(ISBLANK($B129),"",SUM(G129,L129))</f>
        <v>42600</v>
      </c>
      <c r="P129" s="253">
        <f>IF(ISBLANK($B129),"",SUM(H129,M129))</f>
        <v>57</v>
      </c>
      <c r="Q129" s="256">
        <f>IF(O129="","",RANK(P129,P:P,1))</f>
        <v>29</v>
      </c>
      <c r="R129" s="241">
        <f>IF(P129="","",RANK(Q129,Q:Q,1))</f>
        <v>29</v>
      </c>
    </row>
    <row r="130" spans="1:18" ht="13.5" customHeight="1" thickBot="1">
      <c r="A130" s="260"/>
      <c r="B130" s="263"/>
      <c r="C130" s="63">
        <v>2855</v>
      </c>
      <c r="D130" s="64" t="str">
        <f>IF(ISBLANK($C130),"",INDEX('Výsledková listina'!PRINT_AREA,MATCH($C130,'Výsledková listina'!$E:$E,0),2))</f>
        <v>Sigmund David</v>
      </c>
      <c r="E130" s="38">
        <f>IF(ISBLANK($C130),"",INDEX('Výsledková listina'!PRINT_AREA,MATCH($C130,'Výsledková listina'!$E:$E,0),8))</f>
        <v>11870</v>
      </c>
      <c r="F130" s="39">
        <f>IF(ISBLANK($C130),"",INDEX('Výsledková listina'!PRINT_AREA,MATCH($C130,'Výsledková listina'!$E:$E,0),9))</f>
        <v>3</v>
      </c>
      <c r="G130" s="266"/>
      <c r="H130" s="266"/>
      <c r="I130" s="269"/>
      <c r="J130" s="43">
        <f>IF(ISBLANK($C130),"",INDEX('Výsledková listina'!PRINT_AREA,MATCH($C130,'Výsledková listina'!$E:$E,0),12))</f>
        <v>2140</v>
      </c>
      <c r="K130" s="39">
        <f>IF(ISBLANK($C130),"",INDEX('Výsledková listina'!PRINT_AREA,MATCH($C130,'Výsledková listina'!$E:$E,0),13))</f>
        <v>14</v>
      </c>
      <c r="L130" s="266"/>
      <c r="M130" s="266"/>
      <c r="N130" s="269"/>
      <c r="O130" s="272"/>
      <c r="P130" s="254"/>
      <c r="Q130" s="257"/>
      <c r="R130" s="242"/>
    </row>
    <row r="131" spans="1:18" ht="13.5" customHeight="1" thickBot="1">
      <c r="A131" s="261"/>
      <c r="B131" s="264"/>
      <c r="C131" s="65">
        <v>3804</v>
      </c>
      <c r="D131" s="66" t="str">
        <f>IF(ISBLANK($C131),"",INDEX('Výsledková listina'!PRINT_AREA,MATCH($C131,'Výsledková listina'!$E:$E,0),2))</f>
        <v>Plzák Karel</v>
      </c>
      <c r="E131" s="43">
        <f>IF(ISBLANK($C131),"",INDEX('Výsledková listina'!PRINT_AREA,MATCH($C131,'Výsledková listina'!$E:$E,0),8))</f>
        <v>6660</v>
      </c>
      <c r="F131" s="44">
        <f>IF(ISBLANK($C131),"",INDEX('Výsledková listina'!PRINT_AREA,MATCH($C131,'Výsledková listina'!$E:$E,0),9))</f>
        <v>13</v>
      </c>
      <c r="G131" s="267"/>
      <c r="H131" s="267"/>
      <c r="I131" s="270"/>
      <c r="J131" s="43">
        <f>IF(ISBLANK($C131),"",INDEX('Výsledková listina'!PRINT_AREA,MATCH($C131,'Výsledková listina'!$E:$E,0),12))</f>
        <v>6820</v>
      </c>
      <c r="K131" s="44">
        <f>IF(ISBLANK($C131),"",INDEX('Výsledková listina'!PRINT_AREA,MATCH($C131,'Výsledková listina'!$E:$E,0),13))</f>
        <v>4</v>
      </c>
      <c r="L131" s="267"/>
      <c r="M131" s="267"/>
      <c r="N131" s="270"/>
      <c r="O131" s="273"/>
      <c r="P131" s="255"/>
      <c r="Q131" s="258"/>
      <c r="R131" s="243"/>
    </row>
    <row r="132" spans="1:18" ht="13.5" customHeight="1" thickBot="1">
      <c r="A132" s="259">
        <f>SUM(Q132)</f>
        <v>33</v>
      </c>
      <c r="B132" s="262" t="s">
        <v>336</v>
      </c>
      <c r="C132" s="61">
        <v>2646</v>
      </c>
      <c r="D132" s="62" t="str">
        <f>IF(ISBLANK($C132),"",INDEX('Výsledková listina'!PRINT_AREA,MATCH($C132,'Výsledková listina'!$E:$E,0),2))</f>
        <v>Soukup Michal</v>
      </c>
      <c r="E132" s="36">
        <f>IF(ISBLANK($C132),"",INDEX('Výsledková listina'!PRINT_AREA,MATCH($C132,'Výsledková listina'!$E:$E,0),8))</f>
        <v>25040</v>
      </c>
      <c r="F132" s="37">
        <f>IF(ISBLANK($C132),"",INDEX('Výsledková listina'!PRINT_AREA,MATCH($C132,'Výsledková listina'!$E:$E,0),9))</f>
        <v>2</v>
      </c>
      <c r="G132" s="265">
        <f>SUM(E132:E134)</f>
        <v>37000</v>
      </c>
      <c r="H132" s="265">
        <f>SUM(F132:F134)</f>
        <v>23</v>
      </c>
      <c r="I132" s="268">
        <f>RANK(H132,H:H,1)</f>
        <v>22</v>
      </c>
      <c r="J132" s="43">
        <f>IF(ISBLANK($C132),"",INDEX('Výsledková listina'!PRINT_AREA,MATCH($C132,'Výsledková listina'!$E:$E,0),12))</f>
        <v>8360</v>
      </c>
      <c r="K132" s="37">
        <f>IF(ISBLANK($C132),"",INDEX('Výsledková listina'!PRINT_AREA,MATCH($C132,'Výsledková listina'!$E:$E,0),13))</f>
        <v>11</v>
      </c>
      <c r="L132" s="265">
        <f>IF(ISBLANK($B132),"",SUM(J132:J134))</f>
        <v>14570</v>
      </c>
      <c r="M132" s="265">
        <f>IF(ISBLANK($B132),"",SUM(K132:K134))</f>
        <v>36</v>
      </c>
      <c r="N132" s="268">
        <f>IF(ISBLANK($B132),"",RANK(M132,M:M,1))</f>
        <v>36</v>
      </c>
      <c r="O132" s="271">
        <f>IF(ISBLANK($B132),"",SUM(G132,L132))</f>
        <v>51570</v>
      </c>
      <c r="P132" s="253">
        <f>IF(ISBLANK($B132),"",SUM(H132,M132))</f>
        <v>59</v>
      </c>
      <c r="Q132" s="256">
        <f>IF(O132="","",RANK(P132,P:P,1))</f>
        <v>33</v>
      </c>
      <c r="R132" s="241">
        <f>IF(P132="","",RANK(Q132,Q:Q,1))</f>
        <v>33</v>
      </c>
    </row>
    <row r="133" spans="1:18" ht="13.5" customHeight="1" thickBot="1">
      <c r="A133" s="260"/>
      <c r="B133" s="263"/>
      <c r="C133" s="63">
        <v>2637</v>
      </c>
      <c r="D133" s="64" t="str">
        <f>IF(ISBLANK($C133),"",INDEX('Výsledková listina'!PRINT_AREA,MATCH($C133,'Výsledková listina'!$E:$E,0),2))</f>
        <v>Krýsl Pavel</v>
      </c>
      <c r="E133" s="38">
        <f>IF(ISBLANK($C133),"",INDEX('Výsledková listina'!PRINT_AREA,MATCH($C133,'Výsledková listina'!$E:$E,0),8))</f>
        <v>5840</v>
      </c>
      <c r="F133" s="39">
        <f>IF(ISBLANK($C133),"",INDEX('Výsledková listina'!PRINT_AREA,MATCH($C133,'Výsledková listina'!$E:$E,0),9))</f>
        <v>8</v>
      </c>
      <c r="G133" s="266"/>
      <c r="H133" s="266"/>
      <c r="I133" s="269"/>
      <c r="J133" s="43">
        <f>IF(ISBLANK($C133),"",INDEX('Výsledková listina'!PRINT_AREA,MATCH($C133,'Výsledková listina'!$E:$E,0),12))</f>
        <v>5050</v>
      </c>
      <c r="K133" s="39">
        <f>IF(ISBLANK($C133),"",INDEX('Výsledková listina'!PRINT_AREA,MATCH($C133,'Výsledková listina'!$E:$E,0),13))</f>
        <v>12</v>
      </c>
      <c r="L133" s="266"/>
      <c r="M133" s="266"/>
      <c r="N133" s="269"/>
      <c r="O133" s="272"/>
      <c r="P133" s="254"/>
      <c r="Q133" s="257"/>
      <c r="R133" s="242"/>
    </row>
    <row r="134" spans="1:18" ht="13.5" customHeight="1" thickBot="1">
      <c r="A134" s="261"/>
      <c r="B134" s="264"/>
      <c r="C134" s="65">
        <v>2334</v>
      </c>
      <c r="D134" s="66" t="str">
        <f>IF(ISBLANK($C134),"",INDEX('Výsledková listina'!PRINT_AREA,MATCH($C134,'Výsledková listina'!$E:$E,0),2))</f>
        <v>Stříbrský Viktor</v>
      </c>
      <c r="E134" s="43">
        <f>IF(ISBLANK($C134),"",INDEX('Výsledková listina'!PRINT_AREA,MATCH($C134,'Výsledková listina'!$E:$E,0),8))</f>
        <v>6120</v>
      </c>
      <c r="F134" s="44">
        <f>IF(ISBLANK($C134),"",INDEX('Výsledková listina'!PRINT_AREA,MATCH($C134,'Výsledková listina'!$E:$E,0),9))</f>
        <v>13</v>
      </c>
      <c r="G134" s="267"/>
      <c r="H134" s="267"/>
      <c r="I134" s="270"/>
      <c r="J134" s="43">
        <f>IF(ISBLANK($C134),"",INDEX('Výsledková listina'!PRINT_AREA,MATCH($C134,'Výsledková listina'!$E:$E,0),12))</f>
        <v>1160</v>
      </c>
      <c r="K134" s="44">
        <f>IF(ISBLANK($C134),"",INDEX('Výsledková listina'!PRINT_AREA,MATCH($C134,'Výsledková listina'!$E:$E,0),13))</f>
        <v>13</v>
      </c>
      <c r="L134" s="267"/>
      <c r="M134" s="267"/>
      <c r="N134" s="270"/>
      <c r="O134" s="273"/>
      <c r="P134" s="255"/>
      <c r="Q134" s="258"/>
      <c r="R134" s="243"/>
    </row>
    <row r="135" spans="1:18" ht="13.5" customHeight="1" thickBot="1">
      <c r="A135" s="259">
        <f>SUM(Q135)</f>
        <v>18</v>
      </c>
      <c r="B135" s="262" t="s">
        <v>344</v>
      </c>
      <c r="C135" s="61">
        <v>3366</v>
      </c>
      <c r="D135" s="62" t="str">
        <f>IF(ISBLANK($C135),"",INDEX('Výsledková listina'!PRINT_AREA,MATCH($C135,'Výsledková listina'!$E:$E,0),2))</f>
        <v>Chadraba Petr</v>
      </c>
      <c r="E135" s="36">
        <f>IF(ISBLANK($C135),"",INDEX('Výsledková listina'!PRINT_AREA,MATCH($C135,'Výsledková listina'!$E:$E,0),8))</f>
        <v>9320</v>
      </c>
      <c r="F135" s="37">
        <f>IF(ISBLANK($C135),"",INDEX('Výsledková listina'!PRINT_AREA,MATCH($C135,'Výsledková listina'!$E:$E,0),9))</f>
        <v>6</v>
      </c>
      <c r="G135" s="265">
        <f>SUM(E135:E137)</f>
        <v>29090</v>
      </c>
      <c r="H135" s="265">
        <f>SUM(F135:F137)</f>
        <v>22</v>
      </c>
      <c r="I135" s="268">
        <f>RANK(H135,H:H,1)</f>
        <v>21</v>
      </c>
      <c r="J135" s="43">
        <f>IF(ISBLANK($C135),"",INDEX('Výsledková listina'!PRINT_AREA,MATCH($C135,'Výsledková listina'!$E:$E,0),12))</f>
        <v>3940</v>
      </c>
      <c r="K135" s="37">
        <f>IF(ISBLANK($C135),"",INDEX('Výsledková listina'!PRINT_AREA,MATCH($C135,'Výsledková listina'!$E:$E,0),13))</f>
        <v>7</v>
      </c>
      <c r="L135" s="265">
        <f>IF(ISBLANK($B135),"",SUM(J135:J137))</f>
        <v>27350</v>
      </c>
      <c r="M135" s="265">
        <f>IF(ISBLANK($B135),"",SUM(K135:K137))</f>
        <v>19</v>
      </c>
      <c r="N135" s="268">
        <f>IF(ISBLANK($B135),"",RANK(M135,M:M,1))</f>
        <v>13</v>
      </c>
      <c r="O135" s="271">
        <f>IF(ISBLANK($B135),"",SUM(G135,L135))</f>
        <v>56440</v>
      </c>
      <c r="P135" s="253">
        <f>IF(ISBLANK($B135),"",SUM(H135,M135))</f>
        <v>41</v>
      </c>
      <c r="Q135" s="256">
        <f>IF(O135="","",RANK(P135,P:P,1))</f>
        <v>18</v>
      </c>
      <c r="R135" s="241">
        <f>IF(P135="","",RANK(Q135,Q:Q,1))</f>
        <v>18</v>
      </c>
    </row>
    <row r="136" spans="1:18" ht="13.5" customHeight="1" thickBot="1">
      <c r="A136" s="260"/>
      <c r="B136" s="263"/>
      <c r="C136" s="63">
        <v>3556</v>
      </c>
      <c r="D136" s="64" t="str">
        <f>IF(ISBLANK($C136),"",INDEX('Výsledková listina'!PRINT_AREA,MATCH($C136,'Výsledková listina'!$E:$E,0),2))</f>
        <v>Mucala Karel</v>
      </c>
      <c r="E136" s="38">
        <f>IF(ISBLANK($C136),"",INDEX('Výsledková listina'!PRINT_AREA,MATCH($C136,'Výsledková listina'!$E:$E,0),8))</f>
        <v>9970</v>
      </c>
      <c r="F136" s="39">
        <f>IF(ISBLANK($C136),"",INDEX('Výsledková listina'!PRINT_AREA,MATCH($C136,'Výsledková listina'!$E:$E,0),9))</f>
        <v>10</v>
      </c>
      <c r="G136" s="266"/>
      <c r="H136" s="266"/>
      <c r="I136" s="269"/>
      <c r="J136" s="43">
        <f>IF(ISBLANK($C136),"",INDEX('Výsledková listina'!PRINT_AREA,MATCH($C136,'Výsledková listina'!$E:$E,0),12))</f>
        <v>12870</v>
      </c>
      <c r="K136" s="39">
        <f>IF(ISBLANK($C136),"",INDEX('Výsledková listina'!PRINT_AREA,MATCH($C136,'Výsledková listina'!$E:$E,0),13))</f>
        <v>6</v>
      </c>
      <c r="L136" s="266"/>
      <c r="M136" s="266"/>
      <c r="N136" s="269"/>
      <c r="O136" s="272"/>
      <c r="P136" s="254"/>
      <c r="Q136" s="257"/>
      <c r="R136" s="242"/>
    </row>
    <row r="137" spans="1:18" ht="13.5" customHeight="1" thickBot="1">
      <c r="A137" s="261"/>
      <c r="B137" s="264"/>
      <c r="C137" s="65">
        <v>3846</v>
      </c>
      <c r="D137" s="66" t="str">
        <f>IF(ISBLANK($C137),"",INDEX('Výsledková listina'!PRINT_AREA,MATCH($C137,'Výsledková listina'!$E:$E,0),2))</f>
        <v>Mucala David</v>
      </c>
      <c r="E137" s="43">
        <f>IF(ISBLANK($C137),"",INDEX('Výsledková listina'!PRINT_AREA,MATCH($C137,'Výsledková listina'!$E:$E,0),8))</f>
        <v>9800</v>
      </c>
      <c r="F137" s="44">
        <f>IF(ISBLANK($C137),"",INDEX('Výsledková listina'!PRINT_AREA,MATCH($C137,'Výsledková listina'!$E:$E,0),9))</f>
        <v>6</v>
      </c>
      <c r="G137" s="267"/>
      <c r="H137" s="267"/>
      <c r="I137" s="270"/>
      <c r="J137" s="43">
        <f>IF(ISBLANK($C137),"",INDEX('Výsledková listina'!PRINT_AREA,MATCH($C137,'Výsledková listina'!$E:$E,0),12))</f>
        <v>10540</v>
      </c>
      <c r="K137" s="44">
        <f>IF(ISBLANK($C137),"",INDEX('Výsledková listina'!PRINT_AREA,MATCH($C137,'Výsledková listina'!$E:$E,0),13))</f>
        <v>6</v>
      </c>
      <c r="L137" s="267"/>
      <c r="M137" s="267"/>
      <c r="N137" s="270"/>
      <c r="O137" s="273"/>
      <c r="P137" s="255"/>
      <c r="Q137" s="258"/>
      <c r="R137" s="243"/>
    </row>
  </sheetData>
  <sheetProtection/>
  <mergeCells count="540">
    <mergeCell ref="N129:N131"/>
    <mergeCell ref="O129:O131"/>
    <mergeCell ref="P87:P89"/>
    <mergeCell ref="Q87:Q89"/>
    <mergeCell ref="A87:A89"/>
    <mergeCell ref="B87:B89"/>
    <mergeCell ref="G87:G89"/>
    <mergeCell ref="H87:H89"/>
    <mergeCell ref="I87:I89"/>
    <mergeCell ref="L87:L89"/>
    <mergeCell ref="M87:M89"/>
    <mergeCell ref="N87:N89"/>
    <mergeCell ref="O87:O89"/>
    <mergeCell ref="P81:P83"/>
    <mergeCell ref="Q81:Q83"/>
    <mergeCell ref="A84:A86"/>
    <mergeCell ref="B84:B86"/>
    <mergeCell ref="G84:G86"/>
    <mergeCell ref="H84:H86"/>
    <mergeCell ref="I84:I86"/>
    <mergeCell ref="L84:L86"/>
    <mergeCell ref="M84:M86"/>
    <mergeCell ref="N84:N86"/>
    <mergeCell ref="O84:O86"/>
    <mergeCell ref="P84:P86"/>
    <mergeCell ref="Q84:Q86"/>
    <mergeCell ref="A81:A83"/>
    <mergeCell ref="B81:B83"/>
    <mergeCell ref="G81:G83"/>
    <mergeCell ref="H81:H83"/>
    <mergeCell ref="I81:I83"/>
    <mergeCell ref="L81:L83"/>
    <mergeCell ref="M81:M83"/>
    <mergeCell ref="N81:N83"/>
    <mergeCell ref="O81:O83"/>
    <mergeCell ref="P75:P77"/>
    <mergeCell ref="Q75:Q77"/>
    <mergeCell ref="A78:A80"/>
    <mergeCell ref="B78:B80"/>
    <mergeCell ref="G78:G80"/>
    <mergeCell ref="H78:H80"/>
    <mergeCell ref="I78:I80"/>
    <mergeCell ref="L78:L80"/>
    <mergeCell ref="M78:M80"/>
    <mergeCell ref="N78:N80"/>
    <mergeCell ref="O78:O80"/>
    <mergeCell ref="P78:P80"/>
    <mergeCell ref="Q78:Q80"/>
    <mergeCell ref="A75:A77"/>
    <mergeCell ref="B75:B77"/>
    <mergeCell ref="G75:G77"/>
    <mergeCell ref="H75:H77"/>
    <mergeCell ref="I75:I77"/>
    <mergeCell ref="L75:L77"/>
    <mergeCell ref="M75:M77"/>
    <mergeCell ref="N75:N77"/>
    <mergeCell ref="O75:O77"/>
    <mergeCell ref="L4:N4"/>
    <mergeCell ref="H15:H17"/>
    <mergeCell ref="I18:I20"/>
    <mergeCell ref="L18:L20"/>
    <mergeCell ref="M9:M11"/>
    <mergeCell ref="G9:G11"/>
    <mergeCell ref="H9:H11"/>
    <mergeCell ref="I9:I11"/>
    <mergeCell ref="L9:L11"/>
    <mergeCell ref="G6:G8"/>
    <mergeCell ref="H6:H8"/>
    <mergeCell ref="I6:I8"/>
    <mergeCell ref="L6:L8"/>
    <mergeCell ref="N69:N71"/>
    <mergeCell ref="O6:O8"/>
    <mergeCell ref="P6:P8"/>
    <mergeCell ref="N9:N11"/>
    <mergeCell ref="M69:M71"/>
    <mergeCell ref="Q69:Q71"/>
    <mergeCell ref="P69:P71"/>
    <mergeCell ref="O15:O17"/>
    <mergeCell ref="P15:P17"/>
    <mergeCell ref="Q15:Q17"/>
    <mergeCell ref="Q45:Q47"/>
    <mergeCell ref="P66:P68"/>
    <mergeCell ref="Q66:Q68"/>
    <mergeCell ref="O18:O20"/>
    <mergeCell ref="P18:P20"/>
    <mergeCell ref="M27:M29"/>
    <mergeCell ref="M6:M8"/>
    <mergeCell ref="N6:N8"/>
    <mergeCell ref="P9:P11"/>
    <mergeCell ref="O9:O11"/>
    <mergeCell ref="Q9:Q11"/>
    <mergeCell ref="Q6:Q8"/>
    <mergeCell ref="Q18:Q20"/>
    <mergeCell ref="M51:M53"/>
    <mergeCell ref="P60:P62"/>
    <mergeCell ref="Q60:Q62"/>
    <mergeCell ref="P33:P35"/>
    <mergeCell ref="M57:M59"/>
    <mergeCell ref="N57:N59"/>
    <mergeCell ref="O57:O59"/>
    <mergeCell ref="O39:O41"/>
    <mergeCell ref="P57:P59"/>
    <mergeCell ref="M39:M41"/>
    <mergeCell ref="P54:P56"/>
    <mergeCell ref="Q54:Q56"/>
    <mergeCell ref="M54:M56"/>
    <mergeCell ref="N51:N53"/>
    <mergeCell ref="O51:O53"/>
    <mergeCell ref="P51:P53"/>
    <mergeCell ref="M45:M47"/>
    <mergeCell ref="Q57:Q59"/>
    <mergeCell ref="N39:N41"/>
    <mergeCell ref="Q42:Q44"/>
    <mergeCell ref="N54:N56"/>
    <mergeCell ref="O54:O56"/>
    <mergeCell ref="Q51:Q53"/>
    <mergeCell ref="P42:P44"/>
    <mergeCell ref="O60:O62"/>
    <mergeCell ref="P27:P29"/>
    <mergeCell ref="N45:N47"/>
    <mergeCell ref="O45:O47"/>
    <mergeCell ref="P45:P47"/>
    <mergeCell ref="O36:O38"/>
    <mergeCell ref="P36:P38"/>
    <mergeCell ref="P39:P41"/>
    <mergeCell ref="B1:Q1"/>
    <mergeCell ref="B3:B5"/>
    <mergeCell ref="C3:C5"/>
    <mergeCell ref="D3:D5"/>
    <mergeCell ref="E3:I3"/>
    <mergeCell ref="M15:M17"/>
    <mergeCell ref="N18:N20"/>
    <mergeCell ref="N15:N17"/>
    <mergeCell ref="G18:G20"/>
    <mergeCell ref="H18:H20"/>
    <mergeCell ref="I15:I17"/>
    <mergeCell ref="L15:L17"/>
    <mergeCell ref="J3:N3"/>
    <mergeCell ref="O3:Q4"/>
    <mergeCell ref="E4:F4"/>
    <mergeCell ref="G4:I4"/>
    <mergeCell ref="J4:K4"/>
    <mergeCell ref="Q27:Q29"/>
    <mergeCell ref="Q33:Q35"/>
    <mergeCell ref="Q36:Q38"/>
    <mergeCell ref="Q12:Q14"/>
    <mergeCell ref="L51:L53"/>
    <mergeCell ref="N33:N35"/>
    <mergeCell ref="O33:O35"/>
    <mergeCell ref="Q24:Q26"/>
    <mergeCell ref="N12:N14"/>
    <mergeCell ref="O12:O14"/>
    <mergeCell ref="M18:M20"/>
    <mergeCell ref="Q30:Q32"/>
    <mergeCell ref="M24:M26"/>
    <mergeCell ref="N24:N26"/>
    <mergeCell ref="O24:O26"/>
    <mergeCell ref="P24:P26"/>
    <mergeCell ref="M12:M14"/>
    <mergeCell ref="P30:P32"/>
    <mergeCell ref="P12:P14"/>
    <mergeCell ref="M30:M32"/>
    <mergeCell ref="P21:P23"/>
    <mergeCell ref="N36:N38"/>
    <mergeCell ref="N27:N29"/>
    <mergeCell ref="O27:O29"/>
    <mergeCell ref="Q39:Q41"/>
    <mergeCell ref="O48:O50"/>
    <mergeCell ref="N60:N62"/>
    <mergeCell ref="B69:B71"/>
    <mergeCell ref="G69:G71"/>
    <mergeCell ref="H69:H71"/>
    <mergeCell ref="I69:I71"/>
    <mergeCell ref="L69:L71"/>
    <mergeCell ref="I27:I29"/>
    <mergeCell ref="L27:L29"/>
    <mergeCell ref="B27:B29"/>
    <mergeCell ref="G51:G53"/>
    <mergeCell ref="H51:H53"/>
    <mergeCell ref="L33:L35"/>
    <mergeCell ref="B36:B38"/>
    <mergeCell ref="G36:G38"/>
    <mergeCell ref="H36:H38"/>
    <mergeCell ref="I36:I38"/>
    <mergeCell ref="L36:L38"/>
    <mergeCell ref="H60:H62"/>
    <mergeCell ref="I60:I62"/>
    <mergeCell ref="B33:B35"/>
    <mergeCell ref="G33:G35"/>
    <mergeCell ref="H33:H35"/>
    <mergeCell ref="I33:I35"/>
    <mergeCell ref="G57:G59"/>
    <mergeCell ref="B42:B44"/>
    <mergeCell ref="G27:G29"/>
    <mergeCell ref="H27:H29"/>
    <mergeCell ref="I45:I47"/>
    <mergeCell ref="L45:L47"/>
    <mergeCell ref="B30:B32"/>
    <mergeCell ref="G30:G32"/>
    <mergeCell ref="H30:H32"/>
    <mergeCell ref="I30:I32"/>
    <mergeCell ref="L30:L32"/>
    <mergeCell ref="L42:L44"/>
    <mergeCell ref="Q21:Q23"/>
    <mergeCell ref="B21:B23"/>
    <mergeCell ref="N21:N23"/>
    <mergeCell ref="O21:O23"/>
    <mergeCell ref="M33:M35"/>
    <mergeCell ref="N30:N32"/>
    <mergeCell ref="O30:O32"/>
    <mergeCell ref="M21:M23"/>
    <mergeCell ref="Q63:Q65"/>
    <mergeCell ref="I63:I65"/>
    <mergeCell ref="L63:L65"/>
    <mergeCell ref="M63:M65"/>
    <mergeCell ref="N63:N65"/>
    <mergeCell ref="O63:O65"/>
    <mergeCell ref="P63:P65"/>
    <mergeCell ref="P48:P50"/>
    <mergeCell ref="Q48:Q50"/>
    <mergeCell ref="B48:B50"/>
    <mergeCell ref="G48:G50"/>
    <mergeCell ref="H48:H50"/>
    <mergeCell ref="O42:O44"/>
    <mergeCell ref="N48:N50"/>
    <mergeCell ref="B63:B65"/>
    <mergeCell ref="G63:G65"/>
    <mergeCell ref="B60:B62"/>
    <mergeCell ref="G60:G62"/>
    <mergeCell ref="B45:B47"/>
    <mergeCell ref="P72:P74"/>
    <mergeCell ref="Q72:Q74"/>
    <mergeCell ref="B72:B74"/>
    <mergeCell ref="G72:G74"/>
    <mergeCell ref="H72:H74"/>
    <mergeCell ref="I72:I74"/>
    <mergeCell ref="L72:L74"/>
    <mergeCell ref="N72:N74"/>
    <mergeCell ref="O72:O74"/>
    <mergeCell ref="O66:O68"/>
    <mergeCell ref="O69:O71"/>
    <mergeCell ref="H63:H65"/>
    <mergeCell ref="L54:L56"/>
    <mergeCell ref="B57:B59"/>
    <mergeCell ref="B54:B56"/>
    <mergeCell ref="G54:G56"/>
    <mergeCell ref="H54:H56"/>
    <mergeCell ref="I54:I56"/>
    <mergeCell ref="B51:B53"/>
    <mergeCell ref="I48:I50"/>
    <mergeCell ref="I51:I53"/>
    <mergeCell ref="G21:G23"/>
    <mergeCell ref="H21:H23"/>
    <mergeCell ref="I21:I23"/>
    <mergeCell ref="L21:L23"/>
    <mergeCell ref="B24:B26"/>
    <mergeCell ref="G24:G26"/>
    <mergeCell ref="H24:H26"/>
    <mergeCell ref="I24:I26"/>
    <mergeCell ref="L24:L26"/>
    <mergeCell ref="M48:M50"/>
    <mergeCell ref="M72:M74"/>
    <mergeCell ref="M42:M44"/>
    <mergeCell ref="N42:N44"/>
    <mergeCell ref="M36:M38"/>
    <mergeCell ref="M60:M62"/>
    <mergeCell ref="M66:M68"/>
    <mergeCell ref="L60:L62"/>
    <mergeCell ref="G39:G41"/>
    <mergeCell ref="H39:H41"/>
    <mergeCell ref="I39:I41"/>
    <mergeCell ref="L39:L41"/>
    <mergeCell ref="G42:G44"/>
    <mergeCell ref="H42:H44"/>
    <mergeCell ref="I42:I44"/>
    <mergeCell ref="L48:L50"/>
    <mergeCell ref="N66:N68"/>
    <mergeCell ref="G66:G68"/>
    <mergeCell ref="H66:H68"/>
    <mergeCell ref="I66:I68"/>
    <mergeCell ref="L66:L68"/>
    <mergeCell ref="H57:H59"/>
    <mergeCell ref="I57:I59"/>
    <mergeCell ref="L57:L59"/>
    <mergeCell ref="A3:A5"/>
    <mergeCell ref="A15:A17"/>
    <mergeCell ref="A18:A20"/>
    <mergeCell ref="A51:A53"/>
    <mergeCell ref="A12:A14"/>
    <mergeCell ref="A21:A23"/>
    <mergeCell ref="A33:A35"/>
    <mergeCell ref="A30:A32"/>
    <mergeCell ref="A27:A29"/>
    <mergeCell ref="A9:A11"/>
    <mergeCell ref="A48:A50"/>
    <mergeCell ref="A36:A38"/>
    <mergeCell ref="A6:A8"/>
    <mergeCell ref="A45:A47"/>
    <mergeCell ref="B6:B8"/>
    <mergeCell ref="B9:B11"/>
    <mergeCell ref="A72:A74"/>
    <mergeCell ref="B12:B14"/>
    <mergeCell ref="G12:G14"/>
    <mergeCell ref="H12:H14"/>
    <mergeCell ref="I12:I14"/>
    <mergeCell ref="L12:L14"/>
    <mergeCell ref="G45:G47"/>
    <mergeCell ref="H45:H47"/>
    <mergeCell ref="A69:A71"/>
    <mergeCell ref="B39:B41"/>
    <mergeCell ref="A66:A68"/>
    <mergeCell ref="A42:A44"/>
    <mergeCell ref="A60:A62"/>
    <mergeCell ref="A63:A65"/>
    <mergeCell ref="A24:A26"/>
    <mergeCell ref="A57:A59"/>
    <mergeCell ref="A39:A41"/>
    <mergeCell ref="A54:A56"/>
    <mergeCell ref="B15:B17"/>
    <mergeCell ref="G15:G17"/>
    <mergeCell ref="B18:B20"/>
    <mergeCell ref="B66:B68"/>
    <mergeCell ref="P93:P95"/>
    <mergeCell ref="Q93:Q95"/>
    <mergeCell ref="A90:A92"/>
    <mergeCell ref="B90:B92"/>
    <mergeCell ref="G90:G92"/>
    <mergeCell ref="H90:H92"/>
    <mergeCell ref="I90:I92"/>
    <mergeCell ref="L90:L92"/>
    <mergeCell ref="M90:M92"/>
    <mergeCell ref="N90:N92"/>
    <mergeCell ref="O90:O92"/>
    <mergeCell ref="P90:P92"/>
    <mergeCell ref="Q90:Q92"/>
    <mergeCell ref="A93:A95"/>
    <mergeCell ref="B93:B95"/>
    <mergeCell ref="G93:G95"/>
    <mergeCell ref="H93:H95"/>
    <mergeCell ref="I93:I95"/>
    <mergeCell ref="L93:L95"/>
    <mergeCell ref="M93:M95"/>
    <mergeCell ref="N93:N95"/>
    <mergeCell ref="O93:O95"/>
    <mergeCell ref="P96:P98"/>
    <mergeCell ref="Q96:Q98"/>
    <mergeCell ref="A96:A98"/>
    <mergeCell ref="B96:B98"/>
    <mergeCell ref="G96:G98"/>
    <mergeCell ref="H96:H98"/>
    <mergeCell ref="I96:I98"/>
    <mergeCell ref="L96:L98"/>
    <mergeCell ref="M96:M98"/>
    <mergeCell ref="N96:N98"/>
    <mergeCell ref="O96:O98"/>
    <mergeCell ref="P99:P101"/>
    <mergeCell ref="Q99:Q101"/>
    <mergeCell ref="A102:A104"/>
    <mergeCell ref="B102:B104"/>
    <mergeCell ref="G102:G104"/>
    <mergeCell ref="H102:H104"/>
    <mergeCell ref="I102:I104"/>
    <mergeCell ref="L102:L104"/>
    <mergeCell ref="M102:M104"/>
    <mergeCell ref="N102:N104"/>
    <mergeCell ref="O102:O104"/>
    <mergeCell ref="P102:P104"/>
    <mergeCell ref="Q102:Q104"/>
    <mergeCell ref="A99:A101"/>
    <mergeCell ref="B99:B101"/>
    <mergeCell ref="G99:G101"/>
    <mergeCell ref="H99:H101"/>
    <mergeCell ref="I99:I101"/>
    <mergeCell ref="L99:L101"/>
    <mergeCell ref="M99:M101"/>
    <mergeCell ref="N99:N101"/>
    <mergeCell ref="O99:O101"/>
    <mergeCell ref="P105:P107"/>
    <mergeCell ref="Q105:Q107"/>
    <mergeCell ref="A108:A110"/>
    <mergeCell ref="B108:B110"/>
    <mergeCell ref="G108:G110"/>
    <mergeCell ref="H108:H110"/>
    <mergeCell ref="I108:I110"/>
    <mergeCell ref="L108:L110"/>
    <mergeCell ref="M108:M110"/>
    <mergeCell ref="N108:N110"/>
    <mergeCell ref="O108:O110"/>
    <mergeCell ref="P108:P110"/>
    <mergeCell ref="Q108:Q110"/>
    <mergeCell ref="A105:A107"/>
    <mergeCell ref="B105:B107"/>
    <mergeCell ref="G105:G107"/>
    <mergeCell ref="H105:H107"/>
    <mergeCell ref="I105:I107"/>
    <mergeCell ref="L105:L107"/>
    <mergeCell ref="M105:M107"/>
    <mergeCell ref="N105:N107"/>
    <mergeCell ref="O105:O107"/>
    <mergeCell ref="P111:P113"/>
    <mergeCell ref="Q111:Q113"/>
    <mergeCell ref="A111:A113"/>
    <mergeCell ref="B111:B113"/>
    <mergeCell ref="G111:G113"/>
    <mergeCell ref="H111:H113"/>
    <mergeCell ref="I111:I113"/>
    <mergeCell ref="L111:L113"/>
    <mergeCell ref="M111:M113"/>
    <mergeCell ref="N111:N113"/>
    <mergeCell ref="O111:O113"/>
    <mergeCell ref="P114:P116"/>
    <mergeCell ref="Q114:Q116"/>
    <mergeCell ref="A117:A119"/>
    <mergeCell ref="B117:B119"/>
    <mergeCell ref="G117:G119"/>
    <mergeCell ref="H117:H119"/>
    <mergeCell ref="I117:I119"/>
    <mergeCell ref="L117:L119"/>
    <mergeCell ref="M117:M119"/>
    <mergeCell ref="N117:N119"/>
    <mergeCell ref="O117:O119"/>
    <mergeCell ref="P117:P119"/>
    <mergeCell ref="Q117:Q119"/>
    <mergeCell ref="A114:A116"/>
    <mergeCell ref="B114:B116"/>
    <mergeCell ref="G114:G116"/>
    <mergeCell ref="H114:H116"/>
    <mergeCell ref="I114:I116"/>
    <mergeCell ref="L114:L116"/>
    <mergeCell ref="M114:M116"/>
    <mergeCell ref="N114:N116"/>
    <mergeCell ref="O114:O116"/>
    <mergeCell ref="P120:P122"/>
    <mergeCell ref="Q120:Q122"/>
    <mergeCell ref="A123:A125"/>
    <mergeCell ref="B123:B125"/>
    <mergeCell ref="G123:G125"/>
    <mergeCell ref="H123:H125"/>
    <mergeCell ref="I123:I125"/>
    <mergeCell ref="L123:L125"/>
    <mergeCell ref="M123:M125"/>
    <mergeCell ref="N123:N125"/>
    <mergeCell ref="O123:O125"/>
    <mergeCell ref="P123:P125"/>
    <mergeCell ref="Q123:Q125"/>
    <mergeCell ref="A120:A122"/>
    <mergeCell ref="B120:B122"/>
    <mergeCell ref="G120:G122"/>
    <mergeCell ref="H120:H122"/>
    <mergeCell ref="I120:I122"/>
    <mergeCell ref="L120:L122"/>
    <mergeCell ref="M120:M122"/>
    <mergeCell ref="N120:N122"/>
    <mergeCell ref="O120:O122"/>
    <mergeCell ref="L132:L134"/>
    <mergeCell ref="M132:M134"/>
    <mergeCell ref="N132:N134"/>
    <mergeCell ref="O132:O134"/>
    <mergeCell ref="P132:P134"/>
    <mergeCell ref="Q132:Q134"/>
    <mergeCell ref="A126:A128"/>
    <mergeCell ref="B126:B128"/>
    <mergeCell ref="G126:G128"/>
    <mergeCell ref="H126:H128"/>
    <mergeCell ref="I126:I128"/>
    <mergeCell ref="L126:L128"/>
    <mergeCell ref="M126:M128"/>
    <mergeCell ref="N126:N128"/>
    <mergeCell ref="O126:O128"/>
    <mergeCell ref="P129:P131"/>
    <mergeCell ref="Q129:Q131"/>
    <mergeCell ref="A129:A131"/>
    <mergeCell ref="B129:B131"/>
    <mergeCell ref="G129:G131"/>
    <mergeCell ref="H129:H131"/>
    <mergeCell ref="I129:I131"/>
    <mergeCell ref="L129:L131"/>
    <mergeCell ref="M129:M131"/>
    <mergeCell ref="R15:R17"/>
    <mergeCell ref="R18:R20"/>
    <mergeCell ref="R21:R23"/>
    <mergeCell ref="R6:R8"/>
    <mergeCell ref="R9:R11"/>
    <mergeCell ref="R12:R14"/>
    <mergeCell ref="P135:P137"/>
    <mergeCell ref="Q135:Q137"/>
    <mergeCell ref="A135:A137"/>
    <mergeCell ref="B135:B137"/>
    <mergeCell ref="G135:G137"/>
    <mergeCell ref="H135:H137"/>
    <mergeCell ref="I135:I137"/>
    <mergeCell ref="L135:L137"/>
    <mergeCell ref="M135:M137"/>
    <mergeCell ref="N135:N137"/>
    <mergeCell ref="O135:O137"/>
    <mergeCell ref="P126:P128"/>
    <mergeCell ref="Q126:Q128"/>
    <mergeCell ref="A132:A134"/>
    <mergeCell ref="B132:B134"/>
    <mergeCell ref="G132:G134"/>
    <mergeCell ref="H132:H134"/>
    <mergeCell ref="I132:I134"/>
    <mergeCell ref="R42:R44"/>
    <mergeCell ref="R45:R47"/>
    <mergeCell ref="R48:R50"/>
    <mergeCell ref="R33:R35"/>
    <mergeCell ref="R36:R38"/>
    <mergeCell ref="R39:R41"/>
    <mergeCell ref="R24:R26"/>
    <mergeCell ref="R27:R29"/>
    <mergeCell ref="R30:R32"/>
    <mergeCell ref="R69:R71"/>
    <mergeCell ref="R72:R74"/>
    <mergeCell ref="R75:R77"/>
    <mergeCell ref="R60:R62"/>
    <mergeCell ref="R63:R65"/>
    <mergeCell ref="R66:R68"/>
    <mergeCell ref="R51:R53"/>
    <mergeCell ref="R54:R56"/>
    <mergeCell ref="R57:R59"/>
    <mergeCell ref="R96:R98"/>
    <mergeCell ref="R99:R101"/>
    <mergeCell ref="R102:R104"/>
    <mergeCell ref="R87:R89"/>
    <mergeCell ref="R90:R92"/>
    <mergeCell ref="R93:R95"/>
    <mergeCell ref="R78:R80"/>
    <mergeCell ref="R81:R83"/>
    <mergeCell ref="R84:R86"/>
    <mergeCell ref="R132:R134"/>
    <mergeCell ref="R135:R137"/>
    <mergeCell ref="R123:R125"/>
    <mergeCell ref="R126:R128"/>
    <mergeCell ref="R129:R131"/>
    <mergeCell ref="R114:R116"/>
    <mergeCell ref="R117:R119"/>
    <mergeCell ref="R120:R122"/>
    <mergeCell ref="R105:R107"/>
    <mergeCell ref="R108:R110"/>
    <mergeCell ref="R111:R11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rowBreaks count="1" manualBreakCount="1">
    <brk id="89" max="16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0"/>
  <sheetViews>
    <sheetView showGridLines="0" tabSelected="1" zoomScale="105" zoomScaleNormal="105" zoomScaleSheetLayoutView="115" zoomScalePageLayoutView="0" workbookViewId="0" topLeftCell="A1">
      <pane xSplit="4" ySplit="8" topLeftCell="E13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4" sqref="C14"/>
    </sheetView>
  </sheetViews>
  <sheetFormatPr defaultColWidth="9.125" defaultRowHeight="12.75" outlineLevelCol="1"/>
  <cols>
    <col min="1" max="1" width="7.00390625" style="74" bestFit="1" customWidth="1"/>
    <col min="2" max="2" width="22.375" style="174" bestFit="1" customWidth="1"/>
    <col min="3" max="3" width="6.375" style="74" customWidth="1"/>
    <col min="4" max="4" width="32.625" style="74" bestFit="1" customWidth="1"/>
    <col min="5" max="5" width="8.25390625" style="74" customWidth="1" outlineLevel="1"/>
    <col min="6" max="6" width="3.625" style="74" customWidth="1"/>
    <col min="7" max="7" width="3.875" style="74" customWidth="1"/>
    <col min="8" max="8" width="10.75390625" style="77" bestFit="1" customWidth="1"/>
    <col min="9" max="9" width="5.125" style="74" customWidth="1"/>
    <col min="10" max="10" width="4.00390625" style="74" customWidth="1" outlineLevel="1"/>
    <col min="11" max="11" width="3.875" style="74" customWidth="1" outlineLevel="1"/>
    <col min="12" max="12" width="9.125" style="77" customWidth="1" outlineLevel="1"/>
    <col min="13" max="13" width="5.125" style="74" customWidth="1" outlineLevel="1"/>
    <col min="14" max="14" width="9.125" style="77" customWidth="1" outlineLevel="1"/>
    <col min="15" max="15" width="5.125" style="74" customWidth="1" outlineLevel="1"/>
    <col min="16" max="16" width="6.25390625" style="74" customWidth="1" outlineLevel="1"/>
    <col min="17" max="18" width="0.12890625" style="74" hidden="1" customWidth="1"/>
    <col min="19" max="19" width="0.2421875" style="74" hidden="1" customWidth="1"/>
    <col min="20" max="16384" width="9.125" style="74" customWidth="1"/>
  </cols>
  <sheetData>
    <row r="1" spans="1:16" ht="12.75">
      <c r="A1" s="366" t="s">
        <v>91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2:16" ht="15" customHeight="1">
      <c r="B2" s="372" t="str">
        <f>CONCATENATE("Místo konání: ",'Základní list'!E2)</f>
        <v>Místo konání: 411 050 Labe 18, Brandýs nad Labem/St.Boleslav</v>
      </c>
      <c r="C2" s="372"/>
      <c r="D2" s="372"/>
      <c r="E2" s="372"/>
      <c r="F2" s="372"/>
      <c r="G2" s="372"/>
      <c r="H2" s="372"/>
      <c r="I2" s="372"/>
      <c r="J2" s="375" t="str">
        <f>CONCATENATE("Sponzor: ",'Základní list'!E5)</f>
        <v>Sponzor: Falgman - Sportcarp</v>
      </c>
      <c r="K2" s="375"/>
      <c r="L2" s="375"/>
      <c r="M2" s="375"/>
      <c r="N2" s="375"/>
      <c r="O2" s="375"/>
      <c r="P2" s="375"/>
    </row>
    <row r="3" spans="1:16" ht="12.75">
      <c r="A3" s="75"/>
      <c r="B3" s="373" t="str">
        <f>CONCATENATE("Druh závodu: ",'Základní list'!E3)</f>
        <v>Druh závodu: MiČR v LRU Feeder 2019</v>
      </c>
      <c r="C3" s="373"/>
      <c r="D3" s="373"/>
      <c r="E3" s="373"/>
      <c r="F3" s="373"/>
      <c r="G3" s="373"/>
      <c r="H3" s="373"/>
      <c r="I3" s="373"/>
      <c r="J3" s="375" t="str">
        <f>CONCATENATE("Hl. rozhodčí: ",'Základní list'!E6)</f>
        <v>Hl. rozhodčí: Štěpnička Milan st.</v>
      </c>
      <c r="K3" s="375"/>
      <c r="L3" s="375"/>
      <c r="M3" s="375"/>
      <c r="N3" s="375"/>
      <c r="O3" s="375"/>
      <c r="P3" s="375"/>
    </row>
    <row r="4" spans="1:16" ht="12.75">
      <c r="A4" s="75"/>
      <c r="B4" s="372" t="str">
        <f>CONCATENATE("Datum: ",'Základní list'!E4)</f>
        <v>Datum: 29.06- 30.06.2019</v>
      </c>
      <c r="C4" s="372"/>
      <c r="D4" s="372"/>
      <c r="E4" s="372"/>
      <c r="F4" s="372"/>
      <c r="G4" s="372"/>
      <c r="H4" s="372"/>
      <c r="I4" s="372"/>
      <c r="J4" s="375" t="str">
        <f>CONCATENATE("Garant: ",'Základní list'!L6)</f>
        <v>Garant: Hýbner Dušan</v>
      </c>
      <c r="K4" s="375"/>
      <c r="L4" s="375"/>
      <c r="M4" s="375"/>
      <c r="N4" s="375"/>
      <c r="O4" s="375"/>
      <c r="P4" s="375"/>
    </row>
    <row r="5" spans="1:16" ht="3.75" customHeight="1" thickBot="1">
      <c r="A5" s="75"/>
      <c r="B5" s="169"/>
      <c r="C5" s="76"/>
      <c r="D5" s="76"/>
      <c r="E5" s="76"/>
      <c r="F5" s="76"/>
      <c r="G5" s="76"/>
      <c r="H5" s="76"/>
      <c r="I5" s="76"/>
      <c r="J5" s="75"/>
      <c r="K5" s="75"/>
      <c r="M5" s="75"/>
      <c r="O5" s="75"/>
      <c r="P5" s="75"/>
    </row>
    <row r="6" spans="1:19" s="79" customFormat="1" ht="12.75" customHeight="1" thickBot="1">
      <c r="A6" s="370" t="s">
        <v>5</v>
      </c>
      <c r="B6" s="385" t="s">
        <v>17</v>
      </c>
      <c r="C6" s="386"/>
      <c r="D6" s="386"/>
      <c r="E6" s="369"/>
      <c r="F6" s="367" t="s">
        <v>0</v>
      </c>
      <c r="G6" s="368"/>
      <c r="H6" s="368"/>
      <c r="I6" s="374"/>
      <c r="J6" s="367" t="s">
        <v>1</v>
      </c>
      <c r="K6" s="368"/>
      <c r="L6" s="368"/>
      <c r="M6" s="374"/>
      <c r="N6" s="367" t="s">
        <v>2</v>
      </c>
      <c r="O6" s="368"/>
      <c r="P6" s="369"/>
      <c r="Q6" s="393" t="s">
        <v>26</v>
      </c>
      <c r="R6" s="390" t="s">
        <v>27</v>
      </c>
      <c r="S6" s="78"/>
    </row>
    <row r="7" spans="1:19" s="79" customFormat="1" ht="33.75" customHeight="1">
      <c r="A7" s="371"/>
      <c r="B7" s="387"/>
      <c r="C7" s="388"/>
      <c r="D7" s="388"/>
      <c r="E7" s="389"/>
      <c r="F7" s="377" t="s">
        <v>3</v>
      </c>
      <c r="G7" s="378"/>
      <c r="H7" s="383" t="s">
        <v>4</v>
      </c>
      <c r="I7" s="381" t="s">
        <v>5</v>
      </c>
      <c r="J7" s="377" t="str">
        <f>F7</f>
        <v>Sektor</v>
      </c>
      <c r="K7" s="378"/>
      <c r="L7" s="383" t="str">
        <f>H7</f>
        <v>CIPS</v>
      </c>
      <c r="M7" s="381" t="str">
        <f>I7</f>
        <v>Poř</v>
      </c>
      <c r="N7" s="379" t="str">
        <f>L7</f>
        <v>CIPS</v>
      </c>
      <c r="O7" s="381" t="s">
        <v>6</v>
      </c>
      <c r="P7" s="391" t="str">
        <f>M7</f>
        <v>Poř</v>
      </c>
      <c r="Q7" s="393"/>
      <c r="R7" s="390"/>
      <c r="S7" s="78"/>
    </row>
    <row r="8" spans="1:19" s="79" customFormat="1" ht="13.5" customHeight="1">
      <c r="A8" s="371"/>
      <c r="B8" s="170" t="s">
        <v>38</v>
      </c>
      <c r="C8" s="80" t="s">
        <v>7</v>
      </c>
      <c r="D8" s="81" t="s">
        <v>94</v>
      </c>
      <c r="E8" s="82" t="s">
        <v>59</v>
      </c>
      <c r="F8" s="83" t="s">
        <v>9</v>
      </c>
      <c r="G8" s="80" t="s">
        <v>8</v>
      </c>
      <c r="H8" s="384"/>
      <c r="I8" s="382"/>
      <c r="J8" s="83" t="str">
        <f>F8</f>
        <v>sk</v>
      </c>
      <c r="K8" s="80" t="str">
        <f>G8</f>
        <v>čís</v>
      </c>
      <c r="L8" s="384"/>
      <c r="M8" s="382"/>
      <c r="N8" s="380"/>
      <c r="O8" s="382"/>
      <c r="P8" s="392"/>
      <c r="Q8" s="393"/>
      <c r="R8" s="390"/>
      <c r="S8" s="78" t="s">
        <v>63</v>
      </c>
    </row>
    <row r="9" spans="1:19" s="79" customFormat="1" ht="18" customHeight="1">
      <c r="A9" s="84">
        <v>1</v>
      </c>
      <c r="B9" s="96" t="s">
        <v>284</v>
      </c>
      <c r="C9" s="85" t="s">
        <v>53</v>
      </c>
      <c r="D9" s="86" t="s">
        <v>286</v>
      </c>
      <c r="E9" s="87">
        <v>4241</v>
      </c>
      <c r="F9" s="84" t="s">
        <v>356</v>
      </c>
      <c r="G9" s="84">
        <v>1</v>
      </c>
      <c r="H9" s="88">
        <f>IF($G9="","",INDEX('1. závod'!$A:$CM,$G9+3,INDEX('Základní list'!$B:$B,MATCH($F9,'Základní list'!$A:$A,0),1)))</f>
        <v>19765</v>
      </c>
      <c r="I9" s="103">
        <f>IF($G9="","",INDEX('1. závod'!$A:$CL,$G9+3,INDEX('Základní list'!$B:$B,MATCH($F9,'Základní list'!$A:$A,0),1)+2))</f>
        <v>1</v>
      </c>
      <c r="J9" s="84" t="s">
        <v>358</v>
      </c>
      <c r="K9" s="84">
        <v>11</v>
      </c>
      <c r="L9" s="88">
        <f>IF($K9="","",INDEX('2. závod'!$A:$CM,$K9+3,INDEX('Základní list'!$B:$B,MATCH($J9,'Základní list'!$A:$A,0),1)))</f>
        <v>25700</v>
      </c>
      <c r="M9" s="103">
        <f>IF($K9="","",INDEX('2. závod'!$A:$CM,$K9+3,INDEX('Základní list'!$B:$B,MATCH($J9,'Základní list'!$A:$A,0),1)+2))</f>
        <v>1</v>
      </c>
      <c r="N9" s="88">
        <f aca="true" t="shared" si="0" ref="N9:N40">IF($K9="","",SUM(H9,L9))</f>
        <v>45465</v>
      </c>
      <c r="O9" s="89">
        <f aca="true" t="shared" si="1" ref="O9:O40">IF($K9="","",SUM(I9,M9))</f>
        <v>2</v>
      </c>
      <c r="P9" s="94">
        <v>1</v>
      </c>
      <c r="Q9" s="90" t="str">
        <f aca="true" t="shared" si="2" ref="Q9:Q40">CONCATENATE(F9,G9)</f>
        <v>a1</v>
      </c>
      <c r="R9" s="90" t="str">
        <f aca="true" t="shared" si="3" ref="R9:R40">CONCATENATE(J9,K9)</f>
        <v>h11</v>
      </c>
      <c r="S9" s="90"/>
    </row>
    <row r="10" spans="1:19" ht="18" customHeight="1">
      <c r="A10" s="84">
        <v>2</v>
      </c>
      <c r="B10" s="96" t="s">
        <v>282</v>
      </c>
      <c r="C10" s="85" t="s">
        <v>53</v>
      </c>
      <c r="D10" s="86" t="s">
        <v>285</v>
      </c>
      <c r="E10" s="87">
        <v>3467</v>
      </c>
      <c r="F10" s="84" t="s">
        <v>354</v>
      </c>
      <c r="G10" s="84">
        <v>2</v>
      </c>
      <c r="H10" s="88">
        <f>IF($G10="","",INDEX('1. závod'!$A:$CM,$G10+3,INDEX('Základní list'!$B:$B,MATCH($F10,'Základní list'!$A:$A,0),1)))</f>
        <v>25850</v>
      </c>
      <c r="I10" s="103">
        <f>IF($G10="","",INDEX('1. závod'!$A:$CL,$G10+3,INDEX('Základní list'!$B:$B,MATCH($F10,'Základní list'!$A:$A,0),1)+2))</f>
        <v>1</v>
      </c>
      <c r="J10" s="84" t="s">
        <v>356</v>
      </c>
      <c r="K10" s="84">
        <v>6</v>
      </c>
      <c r="L10" s="88">
        <f>IF($K10="","",INDEX('2. závod'!$A:$CM,$K10+3,INDEX('Základní list'!$B:$B,MATCH($J10,'Základní list'!$A:$A,0),1)))</f>
        <v>15970</v>
      </c>
      <c r="M10" s="103">
        <f>IF($K10="","",INDEX('2. závod'!$A:$CM,$K10+3,INDEX('Základní list'!$B:$B,MATCH($J10,'Základní list'!$A:$A,0),1)+2))</f>
        <v>1</v>
      </c>
      <c r="N10" s="88">
        <f t="shared" si="0"/>
        <v>41820</v>
      </c>
      <c r="O10" s="89">
        <f t="shared" si="1"/>
        <v>2</v>
      </c>
      <c r="P10" s="94">
        <v>2</v>
      </c>
      <c r="Q10" s="90" t="str">
        <f t="shared" si="2"/>
        <v>i2</v>
      </c>
      <c r="R10" s="90" t="str">
        <f t="shared" si="3"/>
        <v>a6</v>
      </c>
      <c r="S10" s="90"/>
    </row>
    <row r="11" spans="1:19" s="79" customFormat="1" ht="18" customHeight="1">
      <c r="A11" s="84">
        <v>3</v>
      </c>
      <c r="B11" s="96" t="s">
        <v>298</v>
      </c>
      <c r="C11" s="85" t="s">
        <v>53</v>
      </c>
      <c r="D11" s="86" t="s">
        <v>300</v>
      </c>
      <c r="E11" s="87">
        <v>4073</v>
      </c>
      <c r="F11" s="84" t="s">
        <v>351</v>
      </c>
      <c r="G11" s="84">
        <v>12</v>
      </c>
      <c r="H11" s="88">
        <f>IF($G11="","",INDEX('1. závod'!$A:$CM,$G11+3,INDEX('Základní list'!$B:$B,MATCH($F11,'Základní list'!$A:$A,0),1)))</f>
        <v>13640</v>
      </c>
      <c r="I11" s="103">
        <f>IF($G11="","",INDEX('1. závod'!$A:$CL,$G11+3,INDEX('Základní list'!$B:$B,MATCH($F11,'Základní list'!$A:$A,0),1)+2))</f>
        <v>1</v>
      </c>
      <c r="J11" s="84" t="s">
        <v>354</v>
      </c>
      <c r="K11" s="84">
        <v>15</v>
      </c>
      <c r="L11" s="88">
        <f>IF($K11="","",INDEX('2. závod'!$A:$CM,$K11+3,INDEX('Základní list'!$B:$B,MATCH($J11,'Základní list'!$A:$A,0),1)))</f>
        <v>24590</v>
      </c>
      <c r="M11" s="103">
        <f>IF($K11="","",INDEX('2. závod'!$A:$CM,$K11+3,INDEX('Základní list'!$B:$B,MATCH($J11,'Základní list'!$A:$A,0),1)+2))</f>
        <v>1</v>
      </c>
      <c r="N11" s="88">
        <f t="shared" si="0"/>
        <v>38230</v>
      </c>
      <c r="O11" s="89">
        <f t="shared" si="1"/>
        <v>2</v>
      </c>
      <c r="P11" s="94">
        <v>3</v>
      </c>
      <c r="Q11" s="90" t="str">
        <f t="shared" si="2"/>
        <v>b12</v>
      </c>
      <c r="R11" s="90" t="str">
        <f t="shared" si="3"/>
        <v>i15</v>
      </c>
      <c r="S11" s="90"/>
    </row>
    <row r="12" spans="1:19" s="79" customFormat="1" ht="18" customHeight="1">
      <c r="A12" s="84">
        <v>4</v>
      </c>
      <c r="B12" s="171" t="s">
        <v>170</v>
      </c>
      <c r="C12" s="85" t="s">
        <v>53</v>
      </c>
      <c r="D12" s="86" t="s">
        <v>175</v>
      </c>
      <c r="E12" s="87">
        <v>96</v>
      </c>
      <c r="F12" s="84" t="s">
        <v>359</v>
      </c>
      <c r="G12" s="84">
        <v>11</v>
      </c>
      <c r="H12" s="88">
        <f>IF($G12="","",INDEX('1. závod'!$A:$CM,$G12+3,INDEX('Základní list'!$B:$B,MATCH($F12,'Základní list'!$A:$A,0),1)))</f>
        <v>17130</v>
      </c>
      <c r="I12" s="103">
        <f>IF($G12="","",INDEX('1. závod'!$A:$CL,$G12+3,INDEX('Základní list'!$B:$B,MATCH($F12,'Základní list'!$A:$A,0),1)+2))</f>
        <v>1</v>
      </c>
      <c r="J12" s="84" t="s">
        <v>355</v>
      </c>
      <c r="K12" s="84">
        <v>14</v>
      </c>
      <c r="L12" s="88">
        <f>IF($K12="","",INDEX('2. závod'!$A:$CM,$K12+3,INDEX('Základní list'!$B:$B,MATCH($J12,'Základní list'!$A:$A,0),1)))</f>
        <v>16640</v>
      </c>
      <c r="M12" s="103">
        <f>IF($K12="","",INDEX('2. závod'!$A:$CM,$K12+3,INDEX('Základní list'!$B:$B,MATCH($J12,'Základní list'!$A:$A,0),1)+2))</f>
        <v>1</v>
      </c>
      <c r="N12" s="88">
        <f t="shared" si="0"/>
        <v>33770</v>
      </c>
      <c r="O12" s="89">
        <f t="shared" si="1"/>
        <v>2</v>
      </c>
      <c r="P12" s="94">
        <v>4</v>
      </c>
      <c r="Q12" s="90" t="str">
        <f t="shared" si="2"/>
        <v>d11</v>
      </c>
      <c r="R12" s="90" t="str">
        <f t="shared" si="3"/>
        <v>e14</v>
      </c>
      <c r="S12" s="90"/>
    </row>
    <row r="13" spans="1:19" s="79" customFormat="1" ht="18" customHeight="1">
      <c r="A13" s="84">
        <v>5</v>
      </c>
      <c r="B13" s="96" t="s">
        <v>295</v>
      </c>
      <c r="C13" s="85" t="s">
        <v>53</v>
      </c>
      <c r="D13" s="86" t="s">
        <v>192</v>
      </c>
      <c r="E13" s="87">
        <v>2539</v>
      </c>
      <c r="F13" s="84" t="s">
        <v>355</v>
      </c>
      <c r="G13" s="84">
        <v>16</v>
      </c>
      <c r="H13" s="88">
        <f>IF($G13="","",INDEX('1. závod'!$A:$CM,$G13+3,INDEX('Základní list'!$B:$B,MATCH($F13,'Základní list'!$A:$A,0),1)))</f>
        <v>21440</v>
      </c>
      <c r="I13" s="89">
        <f>IF($G13="","",INDEX('1. závod'!$A:$CL,$G13+3,INDEX('Základní list'!$B:$B,MATCH($F13,'Základní list'!$A:$A,0),1)+2))</f>
        <v>2</v>
      </c>
      <c r="J13" s="84" t="s">
        <v>357</v>
      </c>
      <c r="K13" s="84">
        <v>2</v>
      </c>
      <c r="L13" s="88">
        <f>IF($K13="","",INDEX('2. závod'!$A:$CM,$K13+3,INDEX('Základní list'!$B:$B,MATCH($J13,'Základní list'!$A:$A,0),1)))</f>
        <v>13800</v>
      </c>
      <c r="M13" s="103">
        <f>IF($K13="","",INDEX('2. závod'!$A:$CM,$K13+3,INDEX('Základní list'!$B:$B,MATCH($J13,'Základní list'!$A:$A,0),1)+2))</f>
        <v>1</v>
      </c>
      <c r="N13" s="88">
        <f t="shared" si="0"/>
        <v>35240</v>
      </c>
      <c r="O13" s="89">
        <f t="shared" si="1"/>
        <v>3</v>
      </c>
      <c r="P13" s="94">
        <v>5</v>
      </c>
      <c r="Q13" s="90" t="str">
        <f t="shared" si="2"/>
        <v>e16</v>
      </c>
      <c r="R13" s="90" t="str">
        <f t="shared" si="3"/>
        <v>c2</v>
      </c>
      <c r="S13" s="90"/>
    </row>
    <row r="14" spans="1:19" s="79" customFormat="1" ht="18" customHeight="1">
      <c r="A14" s="84">
        <v>6</v>
      </c>
      <c r="B14" s="172" t="s">
        <v>133</v>
      </c>
      <c r="C14" s="85" t="s">
        <v>53</v>
      </c>
      <c r="D14" s="86" t="s">
        <v>124</v>
      </c>
      <c r="E14" s="87">
        <v>4103</v>
      </c>
      <c r="F14" s="84" t="s">
        <v>352</v>
      </c>
      <c r="G14" s="84">
        <v>14</v>
      </c>
      <c r="H14" s="88">
        <f>IF($G14="","",INDEX('1. závod'!$A:$CM,$G14+3,INDEX('Základní list'!$B:$B,MATCH($F14,'Základní list'!$A:$A,0),1)))</f>
        <v>23410</v>
      </c>
      <c r="I14" s="103">
        <f>IF($G14="","",INDEX('1. závod'!$A:$CL,$G14+3,INDEX('Základní list'!$B:$B,MATCH($F14,'Základní list'!$A:$A,0),1)+2))</f>
        <v>1</v>
      </c>
      <c r="J14" s="84" t="s">
        <v>353</v>
      </c>
      <c r="K14" s="84">
        <v>11</v>
      </c>
      <c r="L14" s="88">
        <f>IF($K14="","",INDEX('2. závod'!$A:$CM,$K14+3,INDEX('Základní list'!$B:$B,MATCH($J14,'Základní list'!$A:$A,0),1)))</f>
        <v>11820</v>
      </c>
      <c r="M14" s="89">
        <f>IF($K14="","",INDEX('2. závod'!$A:$CM,$K14+3,INDEX('Základní list'!$B:$B,MATCH($J14,'Základní list'!$A:$A,0),1)+2))</f>
        <v>2</v>
      </c>
      <c r="N14" s="88">
        <f t="shared" si="0"/>
        <v>35230</v>
      </c>
      <c r="O14" s="89">
        <f t="shared" si="1"/>
        <v>3</v>
      </c>
      <c r="P14" s="94">
        <v>6</v>
      </c>
      <c r="Q14" s="90" t="str">
        <f t="shared" si="2"/>
        <v>g14</v>
      </c>
      <c r="R14" s="90" t="str">
        <f t="shared" si="3"/>
        <v>f11</v>
      </c>
      <c r="S14" s="90"/>
    </row>
    <row r="15" spans="1:19" ht="18" customHeight="1">
      <c r="A15" s="84">
        <v>7</v>
      </c>
      <c r="B15" s="96" t="s">
        <v>293</v>
      </c>
      <c r="C15" s="85" t="s">
        <v>53</v>
      </c>
      <c r="D15" s="86" t="s">
        <v>192</v>
      </c>
      <c r="E15" s="87">
        <v>2299</v>
      </c>
      <c r="F15" s="84" t="s">
        <v>356</v>
      </c>
      <c r="G15" s="84">
        <v>12</v>
      </c>
      <c r="H15" s="88">
        <f>IF($G15="","",INDEX('1. závod'!$A:$CM,$G15+3,INDEX('Základní list'!$B:$B,MATCH($F15,'Základní list'!$A:$A,0),1)))</f>
        <v>16885</v>
      </c>
      <c r="I15" s="89">
        <f>IF($G15="","",INDEX('1. závod'!$A:$CL,$G15+3,INDEX('Základní list'!$B:$B,MATCH($F15,'Základní list'!$A:$A,0),1)+2))</f>
        <v>2</v>
      </c>
      <c r="J15" s="84" t="s">
        <v>352</v>
      </c>
      <c r="K15" s="84">
        <v>13</v>
      </c>
      <c r="L15" s="88">
        <f>IF($K15="","",INDEX('2. závod'!$A:$CM,$K15+3,INDEX('Základní list'!$B:$B,MATCH($J15,'Základní list'!$A:$A,0),1)))</f>
        <v>16560</v>
      </c>
      <c r="M15" s="103">
        <f>IF($K15="","",INDEX('2. závod'!$A:$CM,$K15+3,INDEX('Základní list'!$B:$B,MATCH($J15,'Základní list'!$A:$A,0),1)+2))</f>
        <v>1</v>
      </c>
      <c r="N15" s="88">
        <f t="shared" si="0"/>
        <v>33445</v>
      </c>
      <c r="O15" s="89">
        <f t="shared" si="1"/>
        <v>3</v>
      </c>
      <c r="P15" s="94">
        <v>7</v>
      </c>
      <c r="Q15" s="90" t="str">
        <f t="shared" si="2"/>
        <v>a12</v>
      </c>
      <c r="R15" s="90" t="str">
        <f t="shared" si="3"/>
        <v>g13</v>
      </c>
      <c r="S15" s="90"/>
    </row>
    <row r="16" spans="1:19" s="79" customFormat="1" ht="18" customHeight="1">
      <c r="A16" s="84">
        <v>8</v>
      </c>
      <c r="B16" s="172" t="s">
        <v>136</v>
      </c>
      <c r="C16" s="85" t="s">
        <v>53</v>
      </c>
      <c r="D16" s="86" t="s">
        <v>292</v>
      </c>
      <c r="E16" s="87">
        <v>3428</v>
      </c>
      <c r="F16" s="84" t="s">
        <v>358</v>
      </c>
      <c r="G16" s="84">
        <v>14</v>
      </c>
      <c r="H16" s="88">
        <f>IF($G16="","",INDEX('1. závod'!$A:$CM,$G16+3,INDEX('Základní list'!$B:$B,MATCH($F16,'Základní list'!$A:$A,0),1)))</f>
        <v>16320</v>
      </c>
      <c r="I16" s="89">
        <f>IF($G16="","",INDEX('1. závod'!$A:$CL,$G16+3,INDEX('Základní list'!$B:$B,MATCH($F16,'Základní list'!$A:$A,0),1)+2))</f>
        <v>2</v>
      </c>
      <c r="J16" s="84" t="s">
        <v>353</v>
      </c>
      <c r="K16" s="84">
        <v>1</v>
      </c>
      <c r="L16" s="88">
        <f>IF($K16="","",INDEX('2. závod'!$A:$CM,$K16+3,INDEX('Základní list'!$B:$B,MATCH($J16,'Základní list'!$A:$A,0),1)))</f>
        <v>16560</v>
      </c>
      <c r="M16" s="103">
        <f>IF($K16="","",INDEX('2. závod'!$A:$CM,$K16+3,INDEX('Základní list'!$B:$B,MATCH($J16,'Základní list'!$A:$A,0),1)+2))</f>
        <v>1</v>
      </c>
      <c r="N16" s="88">
        <f t="shared" si="0"/>
        <v>32880</v>
      </c>
      <c r="O16" s="89">
        <f t="shared" si="1"/>
        <v>3</v>
      </c>
      <c r="P16" s="94">
        <v>8</v>
      </c>
      <c r="Q16" s="90" t="str">
        <f t="shared" si="2"/>
        <v>h14</v>
      </c>
      <c r="R16" s="90" t="str">
        <f t="shared" si="3"/>
        <v>f1</v>
      </c>
      <c r="S16" s="90"/>
    </row>
    <row r="17" spans="1:19" s="79" customFormat="1" ht="18" customHeight="1">
      <c r="A17" s="84">
        <v>9</v>
      </c>
      <c r="B17" s="171" t="s">
        <v>176</v>
      </c>
      <c r="C17" s="85" t="s">
        <v>53</v>
      </c>
      <c r="D17" s="86" t="s">
        <v>179</v>
      </c>
      <c r="E17" s="87">
        <v>3042</v>
      </c>
      <c r="F17" s="84" t="s">
        <v>352</v>
      </c>
      <c r="G17" s="84">
        <v>13</v>
      </c>
      <c r="H17" s="88">
        <f>IF($G17="","",INDEX('1. závod'!$A:$CM,$G17+3,INDEX('Základní list'!$B:$B,MATCH($F17,'Základní list'!$A:$A,0),1)))</f>
        <v>23320</v>
      </c>
      <c r="I17" s="89">
        <f>IF($G17="","",INDEX('1. závod'!$A:$CL,$G17+3,INDEX('Základní list'!$B:$B,MATCH($F17,'Základní list'!$A:$A,0),1)+2))</f>
        <v>2</v>
      </c>
      <c r="J17" s="84" t="s">
        <v>355</v>
      </c>
      <c r="K17" s="84">
        <v>15</v>
      </c>
      <c r="L17" s="88">
        <f>IF($K17="","",INDEX('2. závod'!$A:$CM,$K17+3,INDEX('Základní list'!$B:$B,MATCH($J17,'Základní list'!$A:$A,0),1)))</f>
        <v>14960</v>
      </c>
      <c r="M17" s="89">
        <f>IF($K17="","",INDEX('2. závod'!$A:$CM,$K17+3,INDEX('Základní list'!$B:$B,MATCH($J17,'Základní list'!$A:$A,0),1)+2))</f>
        <v>2</v>
      </c>
      <c r="N17" s="88">
        <f t="shared" si="0"/>
        <v>38280</v>
      </c>
      <c r="O17" s="89">
        <f t="shared" si="1"/>
        <v>4</v>
      </c>
      <c r="P17" s="94">
        <v>9</v>
      </c>
      <c r="Q17" s="90" t="str">
        <f t="shared" si="2"/>
        <v>g13</v>
      </c>
      <c r="R17" s="90" t="str">
        <f t="shared" si="3"/>
        <v>e15</v>
      </c>
      <c r="S17" s="90"/>
    </row>
    <row r="18" spans="1:19" ht="18" customHeight="1">
      <c r="A18" s="84">
        <v>10</v>
      </c>
      <c r="B18" s="96" t="s">
        <v>299</v>
      </c>
      <c r="C18" s="85" t="s">
        <v>53</v>
      </c>
      <c r="D18" s="86" t="s">
        <v>300</v>
      </c>
      <c r="E18" s="87">
        <v>3379</v>
      </c>
      <c r="F18" s="84" t="s">
        <v>354</v>
      </c>
      <c r="G18" s="84">
        <v>11</v>
      </c>
      <c r="H18" s="88">
        <f>IF($G18="","",INDEX('1. závod'!$A:$CM,$G18+3,INDEX('Základní list'!$B:$B,MATCH($F18,'Základní list'!$A:$A,0),1)))</f>
        <v>18670</v>
      </c>
      <c r="I18" s="89">
        <f>IF($G18="","",INDEX('1. závod'!$A:$CL,$G18+3,INDEX('Základní list'!$B:$B,MATCH($F18,'Základní list'!$A:$A,0),1)+2))</f>
        <v>3</v>
      </c>
      <c r="J18" s="84" t="s">
        <v>357</v>
      </c>
      <c r="K18" s="84">
        <v>5</v>
      </c>
      <c r="L18" s="88">
        <f>IF($K18="","",INDEX('2. závod'!$A:$CM,$K18+3,INDEX('Základní list'!$B:$B,MATCH($J18,'Základní list'!$A:$A,0),1)))</f>
        <v>11440</v>
      </c>
      <c r="M18" s="89">
        <f>IF($K18="","",INDEX('2. závod'!$A:$CM,$K18+3,INDEX('Základní list'!$B:$B,MATCH($J18,'Základní list'!$A:$A,0),1)+2))</f>
        <v>2</v>
      </c>
      <c r="N18" s="88">
        <f t="shared" si="0"/>
        <v>30110</v>
      </c>
      <c r="O18" s="89">
        <f t="shared" si="1"/>
        <v>5</v>
      </c>
      <c r="P18" s="94">
        <v>10</v>
      </c>
      <c r="Q18" s="90" t="str">
        <f t="shared" si="2"/>
        <v>i11</v>
      </c>
      <c r="R18" s="90" t="str">
        <f t="shared" si="3"/>
        <v>c5</v>
      </c>
      <c r="S18" s="90"/>
    </row>
    <row r="19" spans="1:19" ht="18" customHeight="1">
      <c r="A19" s="84">
        <v>11</v>
      </c>
      <c r="B19" s="172" t="s">
        <v>178</v>
      </c>
      <c r="C19" s="85" t="s">
        <v>53</v>
      </c>
      <c r="D19" s="86" t="s">
        <v>179</v>
      </c>
      <c r="E19" s="87">
        <v>4251</v>
      </c>
      <c r="F19" s="84" t="s">
        <v>356</v>
      </c>
      <c r="G19" s="84">
        <v>2</v>
      </c>
      <c r="H19" s="88">
        <f>IF($G19="","",INDEX('1. závod'!$A:$CM,$G19+3,INDEX('Základní list'!$B:$B,MATCH($F19,'Základní list'!$A:$A,0),1)))</f>
        <v>12045</v>
      </c>
      <c r="I19" s="89">
        <f>IF($G19="","",INDEX('1. závod'!$A:$CL,$G19+3,INDEX('Základní list'!$B:$B,MATCH($F19,'Základní list'!$A:$A,0),1)+2))</f>
        <v>3</v>
      </c>
      <c r="J19" s="84" t="s">
        <v>358</v>
      </c>
      <c r="K19" s="84">
        <v>8</v>
      </c>
      <c r="L19" s="88">
        <f>IF($K19="","",INDEX('2. závod'!$A:$CM,$K19+3,INDEX('Základní list'!$B:$B,MATCH($J19,'Základní list'!$A:$A,0),1)))</f>
        <v>16470</v>
      </c>
      <c r="M19" s="89">
        <f>IF($K19="","",INDEX('2. závod'!$A:$CM,$K19+3,INDEX('Základní list'!$B:$B,MATCH($J19,'Základní list'!$A:$A,0),1)+2))</f>
        <v>2</v>
      </c>
      <c r="N19" s="88">
        <f t="shared" si="0"/>
        <v>28515</v>
      </c>
      <c r="O19" s="89">
        <f t="shared" si="1"/>
        <v>5</v>
      </c>
      <c r="P19" s="94">
        <v>11</v>
      </c>
      <c r="Q19" s="90" t="str">
        <f t="shared" si="2"/>
        <v>a2</v>
      </c>
      <c r="R19" s="90" t="str">
        <f t="shared" si="3"/>
        <v>h8</v>
      </c>
      <c r="S19" s="90"/>
    </row>
    <row r="20" spans="1:19" ht="18" customHeight="1" collapsed="1">
      <c r="A20" s="84">
        <v>12</v>
      </c>
      <c r="B20" s="96" t="s">
        <v>346</v>
      </c>
      <c r="C20" s="85" t="s">
        <v>53</v>
      </c>
      <c r="D20" s="86" t="s">
        <v>345</v>
      </c>
      <c r="E20" s="87">
        <v>5778</v>
      </c>
      <c r="F20" s="84" t="s">
        <v>359</v>
      </c>
      <c r="G20" s="84">
        <v>2</v>
      </c>
      <c r="H20" s="88">
        <f>IF($G20="","",INDEX('1. závod'!$A:$CM,$G20+3,INDEX('Základní list'!$B:$B,MATCH($F20,'Základní list'!$A:$A,0),1)))</f>
        <v>14070</v>
      </c>
      <c r="I20" s="89">
        <f>IF($G20="","",INDEX('1. závod'!$A:$CL,$G20+3,INDEX('Základní list'!$B:$B,MATCH($F20,'Základní list'!$A:$A,0),1)+2))</f>
        <v>3</v>
      </c>
      <c r="J20" s="84" t="s">
        <v>351</v>
      </c>
      <c r="K20" s="84">
        <v>12</v>
      </c>
      <c r="L20" s="88">
        <f>IF($K20="","",INDEX('2. závod'!$A:$CM,$K20+3,INDEX('Základní list'!$B:$B,MATCH($J20,'Základní list'!$A:$A,0),1)))</f>
        <v>12600</v>
      </c>
      <c r="M20" s="89">
        <f>IF($K20="","",INDEX('2. závod'!$A:$CM,$K20+3,INDEX('Základní list'!$B:$B,MATCH($J20,'Základní list'!$A:$A,0),1)+2))</f>
        <v>2</v>
      </c>
      <c r="N20" s="88">
        <f t="shared" si="0"/>
        <v>26670</v>
      </c>
      <c r="O20" s="89">
        <f t="shared" si="1"/>
        <v>5</v>
      </c>
      <c r="P20" s="94">
        <v>12</v>
      </c>
      <c r="Q20" s="90" t="str">
        <f t="shared" si="2"/>
        <v>d2</v>
      </c>
      <c r="R20" s="90" t="str">
        <f t="shared" si="3"/>
        <v>b12</v>
      </c>
      <c r="S20" s="90"/>
    </row>
    <row r="21" spans="1:19" ht="18" customHeight="1">
      <c r="A21" s="84">
        <v>13</v>
      </c>
      <c r="B21" s="172" t="s">
        <v>130</v>
      </c>
      <c r="C21" s="85" t="s">
        <v>53</v>
      </c>
      <c r="D21" s="86" t="s">
        <v>131</v>
      </c>
      <c r="E21" s="87">
        <v>2612</v>
      </c>
      <c r="F21" s="84" t="s">
        <v>354</v>
      </c>
      <c r="G21" s="84">
        <v>4</v>
      </c>
      <c r="H21" s="88">
        <f>IF($G21="","",INDEX('1. závod'!$A:$CM,$G21+3,INDEX('Základní list'!$B:$B,MATCH($F21,'Základní list'!$A:$A,0),1)))</f>
        <v>17310</v>
      </c>
      <c r="I21" s="89">
        <f>IF($G21="","",INDEX('1. závod'!$A:$CL,$G21+3,INDEX('Základní list'!$B:$B,MATCH($F21,'Základní list'!$A:$A,0),1)+2))</f>
        <v>4</v>
      </c>
      <c r="J21" s="84" t="s">
        <v>352</v>
      </c>
      <c r="K21" s="84">
        <v>11</v>
      </c>
      <c r="L21" s="88">
        <f>IF($K21="","",INDEX('2. závod'!$A:$CM,$K21+3,INDEX('Základní list'!$B:$B,MATCH($J21,'Základní list'!$A:$A,0),1)))</f>
        <v>16470</v>
      </c>
      <c r="M21" s="89">
        <f>IF($K21="","",INDEX('2. závod'!$A:$CM,$K21+3,INDEX('Základní list'!$B:$B,MATCH($J21,'Základní list'!$A:$A,0),1)+2))</f>
        <v>2</v>
      </c>
      <c r="N21" s="88">
        <f t="shared" si="0"/>
        <v>33780</v>
      </c>
      <c r="O21" s="89">
        <f t="shared" si="1"/>
        <v>6</v>
      </c>
      <c r="P21" s="94">
        <v>13</v>
      </c>
      <c r="Q21" s="90" t="str">
        <f t="shared" si="2"/>
        <v>i4</v>
      </c>
      <c r="R21" s="90" t="str">
        <f t="shared" si="3"/>
        <v>g11</v>
      </c>
      <c r="S21" s="90"/>
    </row>
    <row r="22" spans="1:19" s="79" customFormat="1" ht="18" customHeight="1">
      <c r="A22" s="84">
        <v>14</v>
      </c>
      <c r="B22" s="96" t="s">
        <v>320</v>
      </c>
      <c r="C22" s="85" t="s">
        <v>53</v>
      </c>
      <c r="D22" s="86" t="s">
        <v>192</v>
      </c>
      <c r="E22" s="87">
        <v>4005</v>
      </c>
      <c r="F22" s="84" t="s">
        <v>353</v>
      </c>
      <c r="G22" s="84">
        <v>10</v>
      </c>
      <c r="H22" s="88">
        <f>IF($G22="","",INDEX('1. závod'!$A:$CM,$G22+3,INDEX('Základní list'!$B:$B,MATCH($F22,'Základní list'!$A:$A,0),1)))</f>
        <v>10400</v>
      </c>
      <c r="I22" s="89">
        <f>IF($G22="","",INDEX('1. závod'!$A:$CL,$G22+3,INDEX('Základní list'!$B:$B,MATCH($F22,'Základní list'!$A:$A,0),1)+2))</f>
        <v>4</v>
      </c>
      <c r="J22" s="84" t="s">
        <v>354</v>
      </c>
      <c r="K22" s="84">
        <v>14</v>
      </c>
      <c r="L22" s="88">
        <f>IF($K22="","",INDEX('2. závod'!$A:$CM,$K22+3,INDEX('Základní list'!$B:$B,MATCH($J22,'Základní list'!$A:$A,0),1)))</f>
        <v>20680</v>
      </c>
      <c r="M22" s="89">
        <f>IF($K22="","",INDEX('2. závod'!$A:$CM,$K22+3,INDEX('Základní list'!$B:$B,MATCH($J22,'Základní list'!$A:$A,0),1)+2))</f>
        <v>2</v>
      </c>
      <c r="N22" s="88">
        <f t="shared" si="0"/>
        <v>31080</v>
      </c>
      <c r="O22" s="89">
        <f t="shared" si="1"/>
        <v>6</v>
      </c>
      <c r="P22" s="94">
        <v>14</v>
      </c>
      <c r="Q22" s="90" t="str">
        <f t="shared" si="2"/>
        <v>f10</v>
      </c>
      <c r="R22" s="90" t="str">
        <f t="shared" si="3"/>
        <v>i14</v>
      </c>
      <c r="S22" s="90"/>
    </row>
    <row r="23" spans="1:19" ht="18" customHeight="1">
      <c r="A23" s="84">
        <v>15</v>
      </c>
      <c r="B23" s="172" t="s">
        <v>114</v>
      </c>
      <c r="C23" s="85" t="s">
        <v>53</v>
      </c>
      <c r="D23" s="86" t="s">
        <v>121</v>
      </c>
      <c r="E23" s="87">
        <v>5382</v>
      </c>
      <c r="F23" s="84" t="s">
        <v>358</v>
      </c>
      <c r="G23" s="84">
        <v>4</v>
      </c>
      <c r="H23" s="88">
        <f>IF($G23="","",INDEX('1. závod'!$A:$CM,$G23+3,INDEX('Základní list'!$B:$B,MATCH($F23,'Základní list'!$A:$A,0),1)))</f>
        <v>14980</v>
      </c>
      <c r="I23" s="89">
        <f>IF($G23="","",INDEX('1. závod'!$A:$CL,$G23+3,INDEX('Základní list'!$B:$B,MATCH($F23,'Základní list'!$A:$A,0),1)+2))</f>
        <v>3</v>
      </c>
      <c r="J23" s="84" t="s">
        <v>358</v>
      </c>
      <c r="K23" s="84">
        <v>10</v>
      </c>
      <c r="L23" s="88">
        <f>IF($K23="","",INDEX('2. závod'!$A:$CM,$K23+3,INDEX('Základní list'!$B:$B,MATCH($J23,'Základní list'!$A:$A,0),1)))</f>
        <v>15300</v>
      </c>
      <c r="M23" s="89">
        <f>IF($K23="","",INDEX('2. závod'!$A:$CM,$K23+3,INDEX('Základní list'!$B:$B,MATCH($J23,'Základní list'!$A:$A,0),1)+2))</f>
        <v>3</v>
      </c>
      <c r="N23" s="88">
        <f t="shared" si="0"/>
        <v>30280</v>
      </c>
      <c r="O23" s="89">
        <f t="shared" si="1"/>
        <v>6</v>
      </c>
      <c r="P23" s="94">
        <v>15</v>
      </c>
      <c r="Q23" s="90" t="str">
        <f t="shared" si="2"/>
        <v>h4</v>
      </c>
      <c r="R23" s="90" t="str">
        <f t="shared" si="3"/>
        <v>h10</v>
      </c>
      <c r="S23" s="90"/>
    </row>
    <row r="24" spans="1:19" ht="18" customHeight="1">
      <c r="A24" s="84">
        <v>16</v>
      </c>
      <c r="B24" s="96" t="s">
        <v>325</v>
      </c>
      <c r="C24" s="85" t="s">
        <v>53</v>
      </c>
      <c r="D24" s="86" t="s">
        <v>157</v>
      </c>
      <c r="E24" s="87">
        <v>3486</v>
      </c>
      <c r="F24" s="84" t="s">
        <v>359</v>
      </c>
      <c r="G24" s="84">
        <v>1</v>
      </c>
      <c r="H24" s="88">
        <f>IF($G24="","",INDEX('1. závod'!$A:$CM,$G24+3,INDEX('Základní list'!$B:$B,MATCH($F24,'Základní list'!$A:$A,0),1)))</f>
        <v>15450</v>
      </c>
      <c r="I24" s="89">
        <f>IF($G24="","",INDEX('1. závod'!$A:$CL,$G24+3,INDEX('Základní list'!$B:$B,MATCH($F24,'Základní list'!$A:$A,0),1)+2))</f>
        <v>2</v>
      </c>
      <c r="J24" s="84" t="s">
        <v>358</v>
      </c>
      <c r="K24" s="84">
        <v>5</v>
      </c>
      <c r="L24" s="88">
        <f>IF($K24="","",INDEX('2. závod'!$A:$CM,$K24+3,INDEX('Základní list'!$B:$B,MATCH($J24,'Základní list'!$A:$A,0),1)))</f>
        <v>13050</v>
      </c>
      <c r="M24" s="89">
        <f>IF($K24="","",INDEX('2. závod'!$A:$CM,$K24+3,INDEX('Základní list'!$B:$B,MATCH($J24,'Základní list'!$A:$A,0),1)+2))</f>
        <v>4</v>
      </c>
      <c r="N24" s="88">
        <f t="shared" si="0"/>
        <v>28500</v>
      </c>
      <c r="O24" s="89">
        <f t="shared" si="1"/>
        <v>6</v>
      </c>
      <c r="P24" s="94">
        <v>16</v>
      </c>
      <c r="Q24" s="90" t="str">
        <f t="shared" si="2"/>
        <v>d1</v>
      </c>
      <c r="R24" s="90" t="str">
        <f t="shared" si="3"/>
        <v>h5</v>
      </c>
      <c r="S24" s="90"/>
    </row>
    <row r="25" spans="1:19" s="79" customFormat="1" ht="18" customHeight="1">
      <c r="A25" s="84">
        <v>17</v>
      </c>
      <c r="B25" s="96" t="s">
        <v>283</v>
      </c>
      <c r="C25" s="85" t="s">
        <v>53</v>
      </c>
      <c r="D25" s="86" t="s">
        <v>267</v>
      </c>
      <c r="E25" s="87">
        <v>3052</v>
      </c>
      <c r="F25" s="84" t="s">
        <v>353</v>
      </c>
      <c r="G25" s="84">
        <v>8</v>
      </c>
      <c r="H25" s="88">
        <f>IF($G25="","",INDEX('1. závod'!$A:$CM,$G25+3,INDEX('Základní list'!$B:$B,MATCH($F25,'Základní list'!$A:$A,0),1)))</f>
        <v>9660</v>
      </c>
      <c r="I25" s="89">
        <f>IF($G25="","",INDEX('1. závod'!$A:$CL,$G25+3,INDEX('Základní list'!$B:$B,MATCH($F25,'Základní list'!$A:$A,0),1)+2))</f>
        <v>5</v>
      </c>
      <c r="J25" s="84" t="s">
        <v>359</v>
      </c>
      <c r="K25" s="84">
        <v>15</v>
      </c>
      <c r="L25" s="88">
        <f>IF($K25="","",INDEX('2. závod'!$A:$CM,$K25+3,INDEX('Základní list'!$B:$B,MATCH($J25,'Základní list'!$A:$A,0),1)))</f>
        <v>13360</v>
      </c>
      <c r="M25" s="103">
        <f>IF($K25="","",INDEX('2. závod'!$A:$CM,$K25+3,INDEX('Základní list'!$B:$B,MATCH($J25,'Základní list'!$A:$A,0),1)+2))</f>
        <v>1</v>
      </c>
      <c r="N25" s="88">
        <f t="shared" si="0"/>
        <v>23020</v>
      </c>
      <c r="O25" s="89">
        <f t="shared" si="1"/>
        <v>6</v>
      </c>
      <c r="P25" s="94">
        <v>17</v>
      </c>
      <c r="Q25" s="90" t="str">
        <f t="shared" si="2"/>
        <v>f8</v>
      </c>
      <c r="R25" s="90" t="str">
        <f t="shared" si="3"/>
        <v>d15</v>
      </c>
      <c r="S25" s="90"/>
    </row>
    <row r="26" spans="1:19" s="79" customFormat="1" ht="18" customHeight="1">
      <c r="A26" s="84">
        <v>18</v>
      </c>
      <c r="B26" s="96" t="s">
        <v>273</v>
      </c>
      <c r="C26" s="85" t="s">
        <v>53</v>
      </c>
      <c r="D26" s="86" t="s">
        <v>275</v>
      </c>
      <c r="E26" s="87">
        <v>3751</v>
      </c>
      <c r="F26" s="84" t="s">
        <v>355</v>
      </c>
      <c r="G26" s="84">
        <v>15</v>
      </c>
      <c r="H26" s="88">
        <f>IF($G26="","",INDEX('1. závod'!$A:$CM,$G26+3,INDEX('Základní list'!$B:$B,MATCH($F26,'Základní list'!$A:$A,0),1)))</f>
        <v>14700</v>
      </c>
      <c r="I26" s="89">
        <f>IF($G26="","",INDEX('1. závod'!$A:$CL,$G26+3,INDEX('Základní list'!$B:$B,MATCH($F26,'Základní list'!$A:$A,0),1)+2))</f>
        <v>4</v>
      </c>
      <c r="J26" s="84" t="s">
        <v>351</v>
      </c>
      <c r="K26" s="84">
        <v>4</v>
      </c>
      <c r="L26" s="88">
        <f>IF($K26="","",INDEX('2. závod'!$A:$CM,$K26+3,INDEX('Základní list'!$B:$B,MATCH($J26,'Základní list'!$A:$A,0),1)))</f>
        <v>8170</v>
      </c>
      <c r="M26" s="89">
        <f>IF($K26="","",INDEX('2. závod'!$A:$CM,$K26+3,INDEX('Základní list'!$B:$B,MATCH($J26,'Základní list'!$A:$A,0),1)+2))</f>
        <v>3</v>
      </c>
      <c r="N26" s="88">
        <f t="shared" si="0"/>
        <v>22870</v>
      </c>
      <c r="O26" s="89">
        <f t="shared" si="1"/>
        <v>7</v>
      </c>
      <c r="P26" s="94">
        <v>18</v>
      </c>
      <c r="Q26" s="90" t="str">
        <f t="shared" si="2"/>
        <v>e15</v>
      </c>
      <c r="R26" s="90" t="str">
        <f t="shared" si="3"/>
        <v>b4</v>
      </c>
      <c r="S26" s="90"/>
    </row>
    <row r="27" spans="1:19" ht="18" customHeight="1">
      <c r="A27" s="84">
        <v>19</v>
      </c>
      <c r="B27" s="96" t="s">
        <v>254</v>
      </c>
      <c r="C27" s="85" t="s">
        <v>53</v>
      </c>
      <c r="D27" s="86" t="s">
        <v>255</v>
      </c>
      <c r="E27" s="87">
        <v>6210</v>
      </c>
      <c r="F27" s="84" t="s">
        <v>358</v>
      </c>
      <c r="G27" s="84">
        <v>12</v>
      </c>
      <c r="H27" s="88">
        <f>IF($G27="","",INDEX('1. závod'!$A:$CM,$G27+3,INDEX('Základní list'!$B:$B,MATCH($F27,'Základní list'!$A:$A,0),1)))</f>
        <v>16880</v>
      </c>
      <c r="I27" s="103">
        <f>IF($G27="","",INDEX('1. závod'!$A:$CL,$G27+3,INDEX('Základní list'!$B:$B,MATCH($F27,'Základní list'!$A:$A,0),1)+2))</f>
        <v>1</v>
      </c>
      <c r="J27" s="84" t="s">
        <v>351</v>
      </c>
      <c r="K27" s="84">
        <v>1</v>
      </c>
      <c r="L27" s="88">
        <f>IF($K27="","",INDEX('2. závod'!$A:$CM,$K27+3,INDEX('Základní list'!$B:$B,MATCH($J27,'Základní list'!$A:$A,0),1)))</f>
        <v>5290</v>
      </c>
      <c r="M27" s="89">
        <f>IF($K27="","",INDEX('2. závod'!$A:$CM,$K27+3,INDEX('Základní list'!$B:$B,MATCH($J27,'Základní list'!$A:$A,0),1)+2))</f>
        <v>6</v>
      </c>
      <c r="N27" s="88">
        <f t="shared" si="0"/>
        <v>22170</v>
      </c>
      <c r="O27" s="89">
        <f t="shared" si="1"/>
        <v>7</v>
      </c>
      <c r="P27" s="94">
        <v>19</v>
      </c>
      <c r="Q27" s="90" t="str">
        <f t="shared" si="2"/>
        <v>h12</v>
      </c>
      <c r="R27" s="90" t="str">
        <f t="shared" si="3"/>
        <v>b1</v>
      </c>
      <c r="S27" s="90"/>
    </row>
    <row r="28" spans="1:19" s="79" customFormat="1" ht="18" customHeight="1">
      <c r="A28" s="84">
        <v>20</v>
      </c>
      <c r="B28" s="96" t="s">
        <v>187</v>
      </c>
      <c r="C28" s="85" t="s">
        <v>53</v>
      </c>
      <c r="D28" s="86" t="s">
        <v>189</v>
      </c>
      <c r="E28" s="87">
        <v>5939</v>
      </c>
      <c r="F28" s="84" t="s">
        <v>359</v>
      </c>
      <c r="G28" s="84">
        <v>14</v>
      </c>
      <c r="H28" s="88">
        <f>IF($G28="","",INDEX('1. závod'!$A:$CM,$G28+3,INDEX('Základní list'!$B:$B,MATCH($F28,'Základní list'!$A:$A,0),1)))</f>
        <v>10305</v>
      </c>
      <c r="I28" s="89">
        <f>IF($G28="","",INDEX('1. závod'!$A:$CL,$G28+3,INDEX('Základní list'!$B:$B,MATCH($F28,'Základní list'!$A:$A,0),1)+2))</f>
        <v>4</v>
      </c>
      <c r="J28" s="84" t="s">
        <v>359</v>
      </c>
      <c r="K28" s="84">
        <v>14</v>
      </c>
      <c r="L28" s="88">
        <f>IF($K28="","",INDEX('2. závod'!$A:$CM,$K28+3,INDEX('Základní list'!$B:$B,MATCH($J28,'Základní list'!$A:$A,0),1)))</f>
        <v>5320</v>
      </c>
      <c r="M28" s="89">
        <f>IF($K28="","",INDEX('2. závod'!$A:$CM,$K28+3,INDEX('Základní list'!$B:$B,MATCH($J28,'Základní list'!$A:$A,0),1)+2))</f>
        <v>3</v>
      </c>
      <c r="N28" s="88">
        <f t="shared" si="0"/>
        <v>15625</v>
      </c>
      <c r="O28" s="89">
        <f t="shared" si="1"/>
        <v>7</v>
      </c>
      <c r="P28" s="94">
        <v>20</v>
      </c>
      <c r="Q28" s="90" t="str">
        <f t="shared" si="2"/>
        <v>d14</v>
      </c>
      <c r="R28" s="90" t="str">
        <f t="shared" si="3"/>
        <v>d14</v>
      </c>
      <c r="S28" s="90"/>
    </row>
    <row r="29" spans="1:19" ht="18" customHeight="1">
      <c r="A29" s="84">
        <v>21</v>
      </c>
      <c r="B29" s="172" t="s">
        <v>252</v>
      </c>
      <c r="C29" s="85" t="s">
        <v>53</v>
      </c>
      <c r="D29" s="86" t="s">
        <v>253</v>
      </c>
      <c r="E29" s="87">
        <v>4300</v>
      </c>
      <c r="F29" s="84" t="s">
        <v>353</v>
      </c>
      <c r="G29" s="84">
        <v>7</v>
      </c>
      <c r="H29" s="88">
        <f>IF($G29="","",INDEX('1. závod'!$A:$CM,$G29+3,INDEX('Základní list'!$B:$B,MATCH($F29,'Základní list'!$A:$A,0),1)))</f>
        <v>11410</v>
      </c>
      <c r="I29" s="89">
        <f>IF($G29="","",INDEX('1. závod'!$A:$CL,$G29+3,INDEX('Základní list'!$B:$B,MATCH($F29,'Základní list'!$A:$A,0),1)+2))</f>
        <v>3</v>
      </c>
      <c r="J29" s="84" t="s">
        <v>354</v>
      </c>
      <c r="K29" s="84">
        <v>10</v>
      </c>
      <c r="L29" s="88">
        <f>IF($K29="","",INDEX('2. závod'!$A:$CM,$K29+3,INDEX('Základní list'!$B:$B,MATCH($J29,'Základní list'!$A:$A,0),1)))</f>
        <v>14020</v>
      </c>
      <c r="M29" s="89">
        <f>IF($K29="","",INDEX('2. závod'!$A:$CM,$K29+3,INDEX('Základní list'!$B:$B,MATCH($J29,'Základní list'!$A:$A,0),1)+2))</f>
        <v>5</v>
      </c>
      <c r="N29" s="88">
        <f t="shared" si="0"/>
        <v>25430</v>
      </c>
      <c r="O29" s="89">
        <f t="shared" si="1"/>
        <v>8</v>
      </c>
      <c r="P29" s="94">
        <v>21</v>
      </c>
      <c r="Q29" s="90" t="str">
        <f t="shared" si="2"/>
        <v>f7</v>
      </c>
      <c r="R29" s="90" t="str">
        <f t="shared" si="3"/>
        <v>i10</v>
      </c>
      <c r="S29" s="90"/>
    </row>
    <row r="30" spans="1:19" ht="18" customHeight="1" collapsed="1">
      <c r="A30" s="84">
        <v>22</v>
      </c>
      <c r="B30" s="172" t="s">
        <v>132</v>
      </c>
      <c r="C30" s="85" t="s">
        <v>53</v>
      </c>
      <c r="D30" s="86" t="s">
        <v>129</v>
      </c>
      <c r="E30" s="87">
        <v>7047</v>
      </c>
      <c r="F30" s="84" t="s">
        <v>357</v>
      </c>
      <c r="G30" s="84">
        <v>7</v>
      </c>
      <c r="H30" s="88">
        <f>IF($G30="","",INDEX('1. závod'!$A:$CM,$G30+3,INDEX('Základní list'!$B:$B,MATCH($F30,'Základní list'!$A:$A,0),1)))</f>
        <v>11750</v>
      </c>
      <c r="I30" s="89">
        <f>IF($G30="","",INDEX('1. závod'!$A:$CL,$G30+3,INDEX('Základní list'!$B:$B,MATCH($F30,'Základní list'!$A:$A,0),1)+2))</f>
        <v>4</v>
      </c>
      <c r="J30" s="84" t="s">
        <v>353</v>
      </c>
      <c r="K30" s="84">
        <v>7</v>
      </c>
      <c r="L30" s="88">
        <f>IF($K30="","",INDEX('2. závod'!$A:$CM,$K30+3,INDEX('Základní list'!$B:$B,MATCH($J30,'Základní list'!$A:$A,0),1)))</f>
        <v>11520</v>
      </c>
      <c r="M30" s="89">
        <f>IF($K30="","",INDEX('2. závod'!$A:$CM,$K30+3,INDEX('Základní list'!$B:$B,MATCH($J30,'Základní list'!$A:$A,0),1)+2))</f>
        <v>4</v>
      </c>
      <c r="N30" s="88">
        <f t="shared" si="0"/>
        <v>23270</v>
      </c>
      <c r="O30" s="89">
        <f t="shared" si="1"/>
        <v>8</v>
      </c>
      <c r="P30" s="94">
        <v>22</v>
      </c>
      <c r="Q30" s="90" t="str">
        <f t="shared" si="2"/>
        <v>c7</v>
      </c>
      <c r="R30" s="90" t="str">
        <f t="shared" si="3"/>
        <v>f7</v>
      </c>
      <c r="S30" s="90"/>
    </row>
    <row r="31" spans="1:19" ht="18" customHeight="1">
      <c r="A31" s="84">
        <v>23</v>
      </c>
      <c r="B31" s="96" t="s">
        <v>279</v>
      </c>
      <c r="C31" s="85" t="s">
        <v>53</v>
      </c>
      <c r="D31" s="86" t="s">
        <v>307</v>
      </c>
      <c r="E31" s="87">
        <v>2793</v>
      </c>
      <c r="F31" s="84" t="s">
        <v>358</v>
      </c>
      <c r="G31" s="84">
        <v>6</v>
      </c>
      <c r="H31" s="88">
        <f>IF($G31="","",INDEX('1. závod'!$A:$CM,$G31+3,INDEX('Základní list'!$B:$B,MATCH($F31,'Základní list'!$A:$A,0),1)))</f>
        <v>10680</v>
      </c>
      <c r="I31" s="89">
        <f>IF($G31="","",INDEX('1. závod'!$A:$CL,$G31+3,INDEX('Základní list'!$B:$B,MATCH($F31,'Základní list'!$A:$A,0),1)+2))</f>
        <v>5</v>
      </c>
      <c r="J31" s="84" t="s">
        <v>355</v>
      </c>
      <c r="K31" s="84">
        <v>10</v>
      </c>
      <c r="L31" s="88">
        <f>IF($K31="","",INDEX('2. závod'!$A:$CM,$K31+3,INDEX('Základní list'!$B:$B,MATCH($J31,'Základní list'!$A:$A,0),1)))</f>
        <v>10980</v>
      </c>
      <c r="M31" s="89">
        <f>IF($K31="","",INDEX('2. závod'!$A:$CM,$K31+3,INDEX('Základní list'!$B:$B,MATCH($J31,'Základní list'!$A:$A,0),1)+2))</f>
        <v>3</v>
      </c>
      <c r="N31" s="88">
        <f t="shared" si="0"/>
        <v>21660</v>
      </c>
      <c r="O31" s="89">
        <f t="shared" si="1"/>
        <v>8</v>
      </c>
      <c r="P31" s="94">
        <v>23</v>
      </c>
      <c r="Q31" s="90" t="str">
        <f t="shared" si="2"/>
        <v>h6</v>
      </c>
      <c r="R31" s="90" t="str">
        <f t="shared" si="3"/>
        <v>e10</v>
      </c>
      <c r="S31" s="90"/>
    </row>
    <row r="32" spans="1:19" s="79" customFormat="1" ht="18" customHeight="1">
      <c r="A32" s="84">
        <v>24</v>
      </c>
      <c r="B32" s="96" t="s">
        <v>240</v>
      </c>
      <c r="C32" s="85" t="s">
        <v>53</v>
      </c>
      <c r="D32" s="86" t="s">
        <v>152</v>
      </c>
      <c r="E32" s="87">
        <v>3320</v>
      </c>
      <c r="F32" s="84" t="s">
        <v>359</v>
      </c>
      <c r="G32" s="84">
        <v>7</v>
      </c>
      <c r="H32" s="88">
        <f>IF($G32="","",INDEX('1. závod'!$A:$CM,$G32+3,INDEX('Základní list'!$B:$B,MATCH($F32,'Základní list'!$A:$A,0),1)))</f>
        <v>9990</v>
      </c>
      <c r="I32" s="89">
        <f>IF($G32="","",INDEX('1. závod'!$A:$CL,$G32+3,INDEX('Základní list'!$B:$B,MATCH($F32,'Základní list'!$A:$A,0),1)+2))</f>
        <v>5</v>
      </c>
      <c r="J32" s="84" t="s">
        <v>357</v>
      </c>
      <c r="K32" s="84">
        <v>4</v>
      </c>
      <c r="L32" s="88">
        <f>IF($K32="","",INDEX('2. závod'!$A:$CM,$K32+3,INDEX('Základní list'!$B:$B,MATCH($J32,'Základní list'!$A:$A,0),1)))</f>
        <v>11260</v>
      </c>
      <c r="M32" s="89">
        <f>IF($K32="","",INDEX('2. závod'!$A:$CM,$K32+3,INDEX('Základní list'!$B:$B,MATCH($J32,'Základní list'!$A:$A,0),1)+2))</f>
        <v>3</v>
      </c>
      <c r="N32" s="88">
        <f t="shared" si="0"/>
        <v>21250</v>
      </c>
      <c r="O32" s="89">
        <f t="shared" si="1"/>
        <v>8</v>
      </c>
      <c r="P32" s="94">
        <v>24</v>
      </c>
      <c r="Q32" s="90" t="str">
        <f t="shared" si="2"/>
        <v>d7</v>
      </c>
      <c r="R32" s="90" t="str">
        <f t="shared" si="3"/>
        <v>c4</v>
      </c>
      <c r="S32" s="90"/>
    </row>
    <row r="33" spans="1:19" ht="18" customHeight="1">
      <c r="A33" s="84">
        <v>25</v>
      </c>
      <c r="B33" s="96" t="s">
        <v>321</v>
      </c>
      <c r="C33" s="85" t="s">
        <v>53</v>
      </c>
      <c r="D33" s="86" t="s">
        <v>322</v>
      </c>
      <c r="E33" s="87">
        <v>4109</v>
      </c>
      <c r="F33" s="84" t="s">
        <v>356</v>
      </c>
      <c r="G33" s="84">
        <v>13</v>
      </c>
      <c r="H33" s="88">
        <f>IF($G33="","",INDEX('1. závod'!$A:$CM,$G33+3,INDEX('Základní list'!$B:$B,MATCH($F33,'Základní list'!$A:$A,0),1)))</f>
        <v>7370</v>
      </c>
      <c r="I33" s="89">
        <f>IF($G33="","",INDEX('1. závod'!$A:$CL,$G33+3,INDEX('Základní list'!$B:$B,MATCH($F33,'Základní list'!$A:$A,0),1)+2))</f>
        <v>6</v>
      </c>
      <c r="J33" s="84" t="s">
        <v>359</v>
      </c>
      <c r="K33" s="84">
        <v>2</v>
      </c>
      <c r="L33" s="88">
        <f>IF($K33="","",INDEX('2. závod'!$A:$CM,$K33+3,INDEX('Základní list'!$B:$B,MATCH($J33,'Základní list'!$A:$A,0),1)))</f>
        <v>6180</v>
      </c>
      <c r="M33" s="89">
        <f>IF($K33="","",INDEX('2. závod'!$A:$CM,$K33+3,INDEX('Základní list'!$B:$B,MATCH($J33,'Základní list'!$A:$A,0),1)+2))</f>
        <v>2</v>
      </c>
      <c r="N33" s="88">
        <f t="shared" si="0"/>
        <v>13550</v>
      </c>
      <c r="O33" s="89">
        <f t="shared" si="1"/>
        <v>8</v>
      </c>
      <c r="P33" s="94">
        <v>25</v>
      </c>
      <c r="Q33" s="90" t="str">
        <f t="shared" si="2"/>
        <v>a13</v>
      </c>
      <c r="R33" s="90" t="str">
        <f t="shared" si="3"/>
        <v>d2</v>
      </c>
      <c r="S33" s="90"/>
    </row>
    <row r="34" spans="1:19" ht="18" customHeight="1">
      <c r="A34" s="84">
        <v>26</v>
      </c>
      <c r="B34" s="172" t="s">
        <v>145</v>
      </c>
      <c r="C34" s="85" t="s">
        <v>57</v>
      </c>
      <c r="D34" s="86" t="s">
        <v>146</v>
      </c>
      <c r="E34" s="87">
        <v>4737</v>
      </c>
      <c r="F34" s="84" t="s">
        <v>352</v>
      </c>
      <c r="G34" s="84">
        <v>12</v>
      </c>
      <c r="H34" s="88">
        <f>IF($G34="","",INDEX('1. závod'!$A:$CM,$G34+3,INDEX('Základní list'!$B:$B,MATCH($F34,'Základní list'!$A:$A,0),1)))</f>
        <v>13490</v>
      </c>
      <c r="I34" s="89">
        <f>IF($G34="","",INDEX('1. závod'!$A:$CL,$G34+3,INDEX('Základní list'!$B:$B,MATCH($F34,'Základní list'!$A:$A,0),1)+2))</f>
        <v>5</v>
      </c>
      <c r="J34" s="84" t="s">
        <v>352</v>
      </c>
      <c r="K34" s="84">
        <v>10</v>
      </c>
      <c r="L34" s="88">
        <f>IF($K34="","",INDEX('2. závod'!$A:$CM,$K34+3,INDEX('Základní list'!$B:$B,MATCH($J34,'Základní list'!$A:$A,0),1)))</f>
        <v>13460</v>
      </c>
      <c r="M34" s="89">
        <f>IF($K34="","",INDEX('2. závod'!$A:$CM,$K34+3,INDEX('Základní list'!$B:$B,MATCH($J34,'Základní list'!$A:$A,0),1)+2))</f>
        <v>4</v>
      </c>
      <c r="N34" s="88">
        <f t="shared" si="0"/>
        <v>26950</v>
      </c>
      <c r="O34" s="89">
        <f t="shared" si="1"/>
        <v>9</v>
      </c>
      <c r="P34" s="94">
        <v>26</v>
      </c>
      <c r="Q34" s="90" t="str">
        <f t="shared" si="2"/>
        <v>g12</v>
      </c>
      <c r="R34" s="90" t="str">
        <f t="shared" si="3"/>
        <v>g10</v>
      </c>
      <c r="S34" s="90"/>
    </row>
    <row r="35" spans="1:19" s="79" customFormat="1" ht="18" customHeight="1">
      <c r="A35" s="84">
        <v>27</v>
      </c>
      <c r="B35" s="172" t="s">
        <v>171</v>
      </c>
      <c r="C35" s="85" t="s">
        <v>53</v>
      </c>
      <c r="D35" s="86" t="s">
        <v>175</v>
      </c>
      <c r="E35" s="87">
        <v>95</v>
      </c>
      <c r="F35" s="84" t="s">
        <v>354</v>
      </c>
      <c r="G35" s="84">
        <v>6</v>
      </c>
      <c r="H35" s="88">
        <f>IF($G35="","",INDEX('1. závod'!$A:$CM,$G35+3,INDEX('Základní list'!$B:$B,MATCH($F35,'Základní list'!$A:$A,0),1)))</f>
        <v>13390</v>
      </c>
      <c r="I35" s="89">
        <f>IF($G35="","",INDEX('1. závod'!$A:$CL,$G35+3,INDEX('Základní list'!$B:$B,MATCH($F35,'Základní list'!$A:$A,0),1)+2))</f>
        <v>5</v>
      </c>
      <c r="J35" s="84" t="s">
        <v>357</v>
      </c>
      <c r="K35" s="84">
        <v>6</v>
      </c>
      <c r="L35" s="88">
        <f>IF($K35="","",INDEX('2. závod'!$A:$CM,$K35+3,INDEX('Základní list'!$B:$B,MATCH($J35,'Základní list'!$A:$A,0),1)))</f>
        <v>10920</v>
      </c>
      <c r="M35" s="89">
        <f>IF($K35="","",INDEX('2. závod'!$A:$CM,$K35+3,INDEX('Základní list'!$B:$B,MATCH($J35,'Základní list'!$A:$A,0),1)+2))</f>
        <v>4</v>
      </c>
      <c r="N35" s="88">
        <f t="shared" si="0"/>
        <v>24310</v>
      </c>
      <c r="O35" s="89">
        <f t="shared" si="1"/>
        <v>9</v>
      </c>
      <c r="P35" s="94">
        <v>27</v>
      </c>
      <c r="Q35" s="90" t="str">
        <f t="shared" si="2"/>
        <v>i6</v>
      </c>
      <c r="R35" s="90" t="str">
        <f t="shared" si="3"/>
        <v>c6</v>
      </c>
      <c r="S35" s="90"/>
    </row>
    <row r="36" spans="1:19" ht="18" customHeight="1">
      <c r="A36" s="84">
        <v>28</v>
      </c>
      <c r="B36" s="96" t="s">
        <v>268</v>
      </c>
      <c r="C36" s="85" t="s">
        <v>53</v>
      </c>
      <c r="D36" s="86" t="s">
        <v>269</v>
      </c>
      <c r="E36" s="87">
        <v>3373</v>
      </c>
      <c r="F36" s="84" t="s">
        <v>355</v>
      </c>
      <c r="G36" s="84">
        <v>13</v>
      </c>
      <c r="H36" s="88">
        <f>IF($G36="","",INDEX('1. závod'!$A:$CM,$G36+3,INDEX('Základní list'!$B:$B,MATCH($F36,'Základní list'!$A:$A,0),1)))</f>
        <v>9370</v>
      </c>
      <c r="I36" s="89">
        <f>IF($G36="","",INDEX('1. závod'!$A:$CL,$G36+3,INDEX('Základní list'!$B:$B,MATCH($F36,'Základní list'!$A:$A,0),1)+2))</f>
        <v>8</v>
      </c>
      <c r="J36" s="84" t="s">
        <v>351</v>
      </c>
      <c r="K36" s="84">
        <v>13</v>
      </c>
      <c r="L36" s="88">
        <f>IF($K36="","",INDEX('2. závod'!$A:$CM,$K36+3,INDEX('Základní list'!$B:$B,MATCH($J36,'Základní list'!$A:$A,0),1)))</f>
        <v>14760</v>
      </c>
      <c r="M36" s="103">
        <f>IF($K36="","",INDEX('2. závod'!$A:$CM,$K36+3,INDEX('Základní list'!$B:$B,MATCH($J36,'Základní list'!$A:$A,0),1)+2))</f>
        <v>1</v>
      </c>
      <c r="N36" s="88">
        <f t="shared" si="0"/>
        <v>24130</v>
      </c>
      <c r="O36" s="89">
        <f t="shared" si="1"/>
        <v>9</v>
      </c>
      <c r="P36" s="94">
        <v>28</v>
      </c>
      <c r="Q36" s="90" t="str">
        <f t="shared" si="2"/>
        <v>e13</v>
      </c>
      <c r="R36" s="90" t="str">
        <f t="shared" si="3"/>
        <v>b13</v>
      </c>
      <c r="S36" s="90"/>
    </row>
    <row r="37" spans="1:19" ht="18" customHeight="1">
      <c r="A37" s="84">
        <v>29</v>
      </c>
      <c r="B37" s="96" t="s">
        <v>310</v>
      </c>
      <c r="C37" s="85" t="s">
        <v>53</v>
      </c>
      <c r="D37" s="86" t="s">
        <v>348</v>
      </c>
      <c r="E37" s="87">
        <v>5356</v>
      </c>
      <c r="F37" s="84" t="s">
        <v>359</v>
      </c>
      <c r="G37" s="84">
        <v>15</v>
      </c>
      <c r="H37" s="88">
        <f>IF($G37="","",INDEX('1. závod'!$A:$CM,$G37+3,INDEX('Základní list'!$B:$B,MATCH($F37,'Základní list'!$A:$A,0),1)))</f>
        <v>9265</v>
      </c>
      <c r="I37" s="89">
        <f>IF($G37="","",INDEX('1. závod'!$A:$CL,$G37+3,INDEX('Základní list'!$B:$B,MATCH($F37,'Základní list'!$A:$A,0),1)+2))</f>
        <v>7</v>
      </c>
      <c r="J37" s="84" t="s">
        <v>356</v>
      </c>
      <c r="K37" s="84">
        <v>9</v>
      </c>
      <c r="L37" s="88">
        <f>IF($K37="","",INDEX('2. závod'!$A:$CM,$K37+3,INDEX('Základní list'!$B:$B,MATCH($J37,'Základní list'!$A:$A,0),1)))</f>
        <v>13450</v>
      </c>
      <c r="M37" s="89">
        <f>IF($K37="","",INDEX('2. závod'!$A:$CM,$K37+3,INDEX('Základní list'!$B:$B,MATCH($J37,'Základní list'!$A:$A,0),1)+2))</f>
        <v>2</v>
      </c>
      <c r="N37" s="88">
        <f t="shared" si="0"/>
        <v>22715</v>
      </c>
      <c r="O37" s="89">
        <f t="shared" si="1"/>
        <v>9</v>
      </c>
      <c r="P37" s="94">
        <v>29</v>
      </c>
      <c r="Q37" s="90" t="str">
        <f t="shared" si="2"/>
        <v>d15</v>
      </c>
      <c r="R37" s="90" t="str">
        <f t="shared" si="3"/>
        <v>a9</v>
      </c>
      <c r="S37" s="90"/>
    </row>
    <row r="38" spans="1:19" s="79" customFormat="1" ht="18" customHeight="1">
      <c r="A38" s="84">
        <v>30</v>
      </c>
      <c r="B38" s="96" t="s">
        <v>313</v>
      </c>
      <c r="C38" s="85" t="s">
        <v>53</v>
      </c>
      <c r="D38" s="86" t="s">
        <v>297</v>
      </c>
      <c r="E38" s="87">
        <v>4056</v>
      </c>
      <c r="F38" s="84" t="s">
        <v>355</v>
      </c>
      <c r="G38" s="84">
        <v>14</v>
      </c>
      <c r="H38" s="88">
        <f>IF($G38="","",INDEX('1. závod'!$A:$CM,$G38+3,INDEX('Základní list'!$B:$B,MATCH($F38,'Základní list'!$A:$A,0),1)))</f>
        <v>11005</v>
      </c>
      <c r="I38" s="89">
        <f>IF($G38="","",INDEX('1. závod'!$A:$CL,$G38+3,INDEX('Základní list'!$B:$B,MATCH($F38,'Základní list'!$A:$A,0),1)+2))</f>
        <v>6</v>
      </c>
      <c r="J38" s="84" t="s">
        <v>353</v>
      </c>
      <c r="K38" s="84">
        <v>3</v>
      </c>
      <c r="L38" s="88">
        <f>IF($K38="","",INDEX('2. závod'!$A:$CM,$K38+3,INDEX('Základní list'!$B:$B,MATCH($J38,'Základní list'!$A:$A,0),1)))</f>
        <v>11700</v>
      </c>
      <c r="M38" s="89">
        <f>IF($K38="","",INDEX('2. závod'!$A:$CM,$K38+3,INDEX('Základní list'!$B:$B,MATCH($J38,'Základní list'!$A:$A,0),1)+2))</f>
        <v>3</v>
      </c>
      <c r="N38" s="88">
        <f t="shared" si="0"/>
        <v>22705</v>
      </c>
      <c r="O38" s="89">
        <f t="shared" si="1"/>
        <v>9</v>
      </c>
      <c r="P38" s="94">
        <v>30</v>
      </c>
      <c r="Q38" s="90" t="str">
        <f t="shared" si="2"/>
        <v>e14</v>
      </c>
      <c r="R38" s="90" t="str">
        <f t="shared" si="3"/>
        <v>f3</v>
      </c>
      <c r="S38" s="90"/>
    </row>
    <row r="39" spans="1:19" ht="18" customHeight="1">
      <c r="A39" s="84">
        <v>31</v>
      </c>
      <c r="B39" s="172" t="s">
        <v>168</v>
      </c>
      <c r="C39" s="85" t="s">
        <v>53</v>
      </c>
      <c r="D39" s="86" t="s">
        <v>173</v>
      </c>
      <c r="E39" s="87">
        <v>1730</v>
      </c>
      <c r="F39" s="84" t="s">
        <v>352</v>
      </c>
      <c r="G39" s="84">
        <v>6</v>
      </c>
      <c r="H39" s="88">
        <f>IF($G39="","",INDEX('1. závod'!$A:$CM,$G39+3,INDEX('Základní list'!$B:$B,MATCH($F39,'Základní list'!$A:$A,0),1)))</f>
        <v>14750</v>
      </c>
      <c r="I39" s="89">
        <f>IF($G39="","",INDEX('1. závod'!$A:$CL,$G39+3,INDEX('Základní list'!$B:$B,MATCH($F39,'Základní list'!$A:$A,0),1)+2))</f>
        <v>4</v>
      </c>
      <c r="J39" s="84" t="s">
        <v>352</v>
      </c>
      <c r="K39" s="84">
        <v>3</v>
      </c>
      <c r="L39" s="88">
        <f>IF($K39="","",INDEX('2. závod'!$A:$CM,$K39+3,INDEX('Základní list'!$B:$B,MATCH($J39,'Základní list'!$A:$A,0),1)))</f>
        <v>12760</v>
      </c>
      <c r="M39" s="89">
        <f>IF($K39="","",INDEX('2. závod'!$A:$CM,$K39+3,INDEX('Základní list'!$B:$B,MATCH($J39,'Základní list'!$A:$A,0),1)+2))</f>
        <v>6</v>
      </c>
      <c r="N39" s="88">
        <f t="shared" si="0"/>
        <v>27510</v>
      </c>
      <c r="O39" s="89">
        <f t="shared" si="1"/>
        <v>10</v>
      </c>
      <c r="P39" s="94">
        <v>31</v>
      </c>
      <c r="Q39" s="90" t="str">
        <f t="shared" si="2"/>
        <v>g6</v>
      </c>
      <c r="R39" s="90" t="str">
        <f t="shared" si="3"/>
        <v>g3</v>
      </c>
      <c r="S39" s="90"/>
    </row>
    <row r="40" spans="1:19" s="79" customFormat="1" ht="18" customHeight="1">
      <c r="A40" s="84">
        <v>32</v>
      </c>
      <c r="B40" s="172" t="s">
        <v>193</v>
      </c>
      <c r="C40" s="85" t="s">
        <v>53</v>
      </c>
      <c r="D40" s="86" t="s">
        <v>307</v>
      </c>
      <c r="E40" s="87">
        <v>5582</v>
      </c>
      <c r="F40" s="84" t="s">
        <v>352</v>
      </c>
      <c r="G40" s="84">
        <v>7</v>
      </c>
      <c r="H40" s="88">
        <f>IF($G40="","",INDEX('1. závod'!$A:$CM,$G40+3,INDEX('Základní list'!$B:$B,MATCH($F40,'Základní list'!$A:$A,0),1)))</f>
        <v>11400</v>
      </c>
      <c r="I40" s="89">
        <f>IF($G40="","",INDEX('1. závod'!$A:$CL,$G40+3,INDEX('Základní list'!$B:$B,MATCH($F40,'Základní list'!$A:$A,0),1)+2))</f>
        <v>7</v>
      </c>
      <c r="J40" s="84" t="s">
        <v>352</v>
      </c>
      <c r="K40" s="84">
        <v>9</v>
      </c>
      <c r="L40" s="88">
        <f>IF($K40="","",INDEX('2. závod'!$A:$CM,$K40+3,INDEX('Základní list'!$B:$B,MATCH($J40,'Základní list'!$A:$A,0),1)))</f>
        <v>14410</v>
      </c>
      <c r="M40" s="89">
        <f>IF($K40="","",INDEX('2. závod'!$A:$CM,$K40+3,INDEX('Základní list'!$B:$B,MATCH($J40,'Základní list'!$A:$A,0),1)+2))</f>
        <v>3</v>
      </c>
      <c r="N40" s="88">
        <f t="shared" si="0"/>
        <v>25810</v>
      </c>
      <c r="O40" s="89">
        <f t="shared" si="1"/>
        <v>10</v>
      </c>
      <c r="P40" s="94">
        <v>32</v>
      </c>
      <c r="Q40" s="90" t="str">
        <f t="shared" si="2"/>
        <v>g7</v>
      </c>
      <c r="R40" s="90" t="str">
        <f t="shared" si="3"/>
        <v>g9</v>
      </c>
      <c r="S40" s="90"/>
    </row>
    <row r="41" spans="1:19" ht="18" customHeight="1">
      <c r="A41" s="84">
        <v>33</v>
      </c>
      <c r="B41" s="172" t="s">
        <v>169</v>
      </c>
      <c r="C41" s="85" t="s">
        <v>53</v>
      </c>
      <c r="D41" s="86" t="s">
        <v>174</v>
      </c>
      <c r="E41" s="87">
        <v>2763</v>
      </c>
      <c r="F41" s="84" t="s">
        <v>355</v>
      </c>
      <c r="G41" s="84">
        <v>6</v>
      </c>
      <c r="H41" s="88">
        <f>IF($G41="","",INDEX('1. závod'!$A:$CM,$G41+3,INDEX('Základní list'!$B:$B,MATCH($F41,'Základní list'!$A:$A,0),1)))</f>
        <v>14003</v>
      </c>
      <c r="I41" s="89">
        <f>IF($G41="","",INDEX('1. závod'!$A:$CL,$G41+3,INDEX('Základní list'!$B:$B,MATCH($F41,'Základní list'!$A:$A,0),1)+2))</f>
        <v>5</v>
      </c>
      <c r="J41" s="84" t="s">
        <v>357</v>
      </c>
      <c r="K41" s="84">
        <v>11</v>
      </c>
      <c r="L41" s="88">
        <f>IF($K41="","",INDEX('2. závod'!$A:$CM,$K41+3,INDEX('Základní list'!$B:$B,MATCH($J41,'Základní list'!$A:$A,0),1)))</f>
        <v>7860</v>
      </c>
      <c r="M41" s="89">
        <f>IF($K41="","",INDEX('2. závod'!$A:$CM,$K41+3,INDEX('Základní list'!$B:$B,MATCH($J41,'Základní list'!$A:$A,0),1)+2))</f>
        <v>5</v>
      </c>
      <c r="N41" s="88">
        <f aca="true" t="shared" si="4" ref="N41:N72">IF($K41="","",SUM(H41,L41))</f>
        <v>21863</v>
      </c>
      <c r="O41" s="89">
        <f aca="true" t="shared" si="5" ref="O41:O72">IF($K41="","",SUM(I41,M41))</f>
        <v>10</v>
      </c>
      <c r="P41" s="94">
        <v>33</v>
      </c>
      <c r="Q41" s="90" t="str">
        <f aca="true" t="shared" si="6" ref="Q41:Q72">CONCATENATE(F41,G41)</f>
        <v>e6</v>
      </c>
      <c r="R41" s="90" t="str">
        <f aca="true" t="shared" si="7" ref="R41:R72">CONCATENATE(J41,K41)</f>
        <v>c11</v>
      </c>
      <c r="S41" s="90"/>
    </row>
    <row r="42" spans="1:19" ht="18" customHeight="1">
      <c r="A42" s="84">
        <v>34</v>
      </c>
      <c r="B42" s="171" t="s">
        <v>137</v>
      </c>
      <c r="C42" s="85" t="s">
        <v>53</v>
      </c>
      <c r="D42" s="86" t="s">
        <v>292</v>
      </c>
      <c r="E42" s="87">
        <v>3706</v>
      </c>
      <c r="F42" s="84" t="s">
        <v>353</v>
      </c>
      <c r="G42" s="84">
        <v>6</v>
      </c>
      <c r="H42" s="88">
        <f>IF($G42="","",INDEX('1. závod'!$A:$CM,$G42+3,INDEX('Základní list'!$B:$B,MATCH($F42,'Základní list'!$A:$A,0),1)))</f>
        <v>11790</v>
      </c>
      <c r="I42" s="89">
        <f>IF($G42="","",INDEX('1. závod'!$A:$CL,$G42+3,INDEX('Základní list'!$B:$B,MATCH($F42,'Základní list'!$A:$A,0),1)+2))</f>
        <v>2</v>
      </c>
      <c r="J42" s="84" t="s">
        <v>356</v>
      </c>
      <c r="K42" s="84">
        <v>4</v>
      </c>
      <c r="L42" s="88">
        <f>IF($K42="","",INDEX('2. závod'!$A:$CM,$K42+3,INDEX('Základní list'!$B:$B,MATCH($J42,'Základní list'!$A:$A,0),1)))</f>
        <v>9480</v>
      </c>
      <c r="M42" s="89">
        <f>IF($K42="","",INDEX('2. závod'!$A:$CM,$K42+3,INDEX('Základní list'!$B:$B,MATCH($J42,'Základní list'!$A:$A,0),1)+2))</f>
        <v>8</v>
      </c>
      <c r="N42" s="88">
        <f t="shared" si="4"/>
        <v>21270</v>
      </c>
      <c r="O42" s="89">
        <f t="shared" si="5"/>
        <v>10</v>
      </c>
      <c r="P42" s="94">
        <v>34</v>
      </c>
      <c r="Q42" s="90" t="str">
        <f t="shared" si="6"/>
        <v>f6</v>
      </c>
      <c r="R42" s="90" t="str">
        <f t="shared" si="7"/>
        <v>a4</v>
      </c>
      <c r="S42" s="90"/>
    </row>
    <row r="43" spans="1:19" s="79" customFormat="1" ht="18" customHeight="1">
      <c r="A43" s="84">
        <v>35</v>
      </c>
      <c r="B43" s="171" t="s">
        <v>100</v>
      </c>
      <c r="C43" s="85" t="s">
        <v>53</v>
      </c>
      <c r="D43" s="86" t="s">
        <v>249</v>
      </c>
      <c r="E43" s="87">
        <v>7042</v>
      </c>
      <c r="F43" s="84" t="s">
        <v>351</v>
      </c>
      <c r="G43" s="84">
        <v>3</v>
      </c>
      <c r="H43" s="88">
        <f>IF($G43="","",INDEX('1. závod'!$A:$CM,$G43+3,INDEX('Základní list'!$B:$B,MATCH($F43,'Základní list'!$A:$A,0),1)))</f>
        <v>11960</v>
      </c>
      <c r="I43" s="89">
        <f>IF($G43="","",INDEX('1. závod'!$A:$CL,$G43+3,INDEX('Základní list'!$B:$B,MATCH($F43,'Základní list'!$A:$A,0),1)+2))</f>
        <v>2</v>
      </c>
      <c r="J43" s="84" t="s">
        <v>358</v>
      </c>
      <c r="K43" s="84">
        <v>16</v>
      </c>
      <c r="L43" s="88">
        <f>IF($K43="","",INDEX('2. závod'!$A:$CM,$K43+3,INDEX('Základní list'!$B:$B,MATCH($J43,'Základní list'!$A:$A,0),1)))</f>
        <v>8120</v>
      </c>
      <c r="M43" s="89">
        <f>IF($K43="","",INDEX('2. závod'!$A:$CM,$K43+3,INDEX('Základní list'!$B:$B,MATCH($J43,'Základní list'!$A:$A,0),1)+2))</f>
        <v>8</v>
      </c>
      <c r="N43" s="88">
        <f t="shared" si="4"/>
        <v>20080</v>
      </c>
      <c r="O43" s="89">
        <f t="shared" si="5"/>
        <v>10</v>
      </c>
      <c r="P43" s="94">
        <v>35</v>
      </c>
      <c r="Q43" s="90" t="str">
        <f t="shared" si="6"/>
        <v>b3</v>
      </c>
      <c r="R43" s="90" t="str">
        <f t="shared" si="7"/>
        <v>h16</v>
      </c>
      <c r="S43" s="90"/>
    </row>
    <row r="44" spans="1:19" ht="18" customHeight="1">
      <c r="A44" s="84">
        <v>36</v>
      </c>
      <c r="B44" s="172" t="s">
        <v>213</v>
      </c>
      <c r="C44" s="85" t="s">
        <v>53</v>
      </c>
      <c r="D44" s="86" t="s">
        <v>212</v>
      </c>
      <c r="E44" s="87">
        <v>5390</v>
      </c>
      <c r="F44" s="84" t="s">
        <v>355</v>
      </c>
      <c r="G44" s="84">
        <v>10</v>
      </c>
      <c r="H44" s="88">
        <f>IF($G44="","",INDEX('1. závod'!$A:$CM,$G44+3,INDEX('Základní list'!$B:$B,MATCH($F44,'Základní list'!$A:$A,0),1)))</f>
        <v>22350</v>
      </c>
      <c r="I44" s="103">
        <f>IF($G44="","",INDEX('1. závod'!$A:$CL,$G44+3,INDEX('Základní list'!$B:$B,MATCH($F44,'Základní list'!$A:$A,0),1)+2))</f>
        <v>1</v>
      </c>
      <c r="J44" s="84" t="s">
        <v>351</v>
      </c>
      <c r="K44" s="84">
        <v>3</v>
      </c>
      <c r="L44" s="88">
        <f>IF($K44="","",INDEX('2. závod'!$A:$CM,$K44+3,INDEX('Základní list'!$B:$B,MATCH($J44,'Základní list'!$A:$A,0),1)))</f>
        <v>3600</v>
      </c>
      <c r="M44" s="89">
        <f>IF($K44="","",INDEX('2. závod'!$A:$CM,$K44+3,INDEX('Základní list'!$B:$B,MATCH($J44,'Základní list'!$A:$A,0),1)+2))</f>
        <v>10</v>
      </c>
      <c r="N44" s="88">
        <f t="shared" si="4"/>
        <v>25950</v>
      </c>
      <c r="O44" s="89">
        <f t="shared" si="5"/>
        <v>11</v>
      </c>
      <c r="P44" s="94">
        <v>36</v>
      </c>
      <c r="Q44" s="90" t="str">
        <f t="shared" si="6"/>
        <v>e10</v>
      </c>
      <c r="R44" s="90" t="str">
        <f t="shared" si="7"/>
        <v>b3</v>
      </c>
      <c r="S44" s="90"/>
    </row>
    <row r="45" spans="1:19" s="79" customFormat="1" ht="18" customHeight="1">
      <c r="A45" s="84">
        <v>37</v>
      </c>
      <c r="B45" s="172" t="s">
        <v>211</v>
      </c>
      <c r="C45" s="85" t="s">
        <v>53</v>
      </c>
      <c r="D45" s="86" t="s">
        <v>212</v>
      </c>
      <c r="E45" s="87">
        <v>3424</v>
      </c>
      <c r="F45" s="84" t="s">
        <v>357</v>
      </c>
      <c r="G45" s="84">
        <v>6</v>
      </c>
      <c r="H45" s="88">
        <f>IF($G45="","",INDEX('1. závod'!$A:$CM,$G45+3,INDEX('Základní list'!$B:$B,MATCH($F45,'Základní list'!$A:$A,0),1)))</f>
        <v>12555</v>
      </c>
      <c r="I45" s="89">
        <f>IF($G45="","",INDEX('1. závod'!$A:$CL,$G45+3,INDEX('Základní list'!$B:$B,MATCH($F45,'Základní list'!$A:$A,0),1)+2))</f>
        <v>2</v>
      </c>
      <c r="J45" s="84" t="s">
        <v>352</v>
      </c>
      <c r="K45" s="84">
        <v>2</v>
      </c>
      <c r="L45" s="88">
        <f>IF($K45="","",INDEX('2. závod'!$A:$CM,$K45+3,INDEX('Základní list'!$B:$B,MATCH($J45,'Základní list'!$A:$A,0),1)))</f>
        <v>10600</v>
      </c>
      <c r="M45" s="89">
        <f>IF($K45="","",INDEX('2. závod'!$A:$CM,$K45+3,INDEX('Základní list'!$B:$B,MATCH($J45,'Základní list'!$A:$A,0),1)+2))</f>
        <v>9</v>
      </c>
      <c r="N45" s="88">
        <f t="shared" si="4"/>
        <v>23155</v>
      </c>
      <c r="O45" s="89">
        <f t="shared" si="5"/>
        <v>11</v>
      </c>
      <c r="P45" s="94">
        <v>37</v>
      </c>
      <c r="Q45" s="90" t="str">
        <f t="shared" si="6"/>
        <v>c6</v>
      </c>
      <c r="R45" s="90" t="str">
        <f t="shared" si="7"/>
        <v>g2</v>
      </c>
      <c r="S45" s="90"/>
    </row>
    <row r="46" spans="1:19" ht="18" customHeight="1">
      <c r="A46" s="84">
        <v>38</v>
      </c>
      <c r="B46" s="96" t="s">
        <v>242</v>
      </c>
      <c r="C46" s="85" t="s">
        <v>53</v>
      </c>
      <c r="D46" s="86" t="s">
        <v>192</v>
      </c>
      <c r="E46" s="87">
        <v>3645</v>
      </c>
      <c r="F46" s="84" t="s">
        <v>357</v>
      </c>
      <c r="G46" s="84">
        <v>5</v>
      </c>
      <c r="H46" s="88">
        <f>IF($G46="","",INDEX('1. závod'!$A:$CM,$G46+3,INDEX('Základní list'!$B:$B,MATCH($F46,'Základní list'!$A:$A,0),1)))</f>
        <v>11500</v>
      </c>
      <c r="I46" s="89">
        <f>IF($G46="","",INDEX('1. závod'!$A:$CL,$G46+3,INDEX('Základní list'!$B:$B,MATCH($F46,'Základní list'!$A:$A,0),1)+2))</f>
        <v>5</v>
      </c>
      <c r="J46" s="84" t="s">
        <v>358</v>
      </c>
      <c r="K46" s="84">
        <v>12</v>
      </c>
      <c r="L46" s="88">
        <f>IF($K46="","",INDEX('2. závod'!$A:$CM,$K46+3,INDEX('Základní list'!$B:$B,MATCH($J46,'Základní list'!$A:$A,0),1)))</f>
        <v>10740</v>
      </c>
      <c r="M46" s="89">
        <f>IF($K46="","",INDEX('2. závod'!$A:$CM,$K46+3,INDEX('Základní list'!$B:$B,MATCH($J46,'Základní list'!$A:$A,0),1)+2))</f>
        <v>6</v>
      </c>
      <c r="N46" s="88">
        <f t="shared" si="4"/>
        <v>22240</v>
      </c>
      <c r="O46" s="89">
        <f t="shared" si="5"/>
        <v>11</v>
      </c>
      <c r="P46" s="94">
        <v>38</v>
      </c>
      <c r="Q46" s="90" t="str">
        <f t="shared" si="6"/>
        <v>c5</v>
      </c>
      <c r="R46" s="90" t="str">
        <f t="shared" si="7"/>
        <v>h12</v>
      </c>
      <c r="S46" s="90"/>
    </row>
    <row r="47" spans="1:19" ht="18" customHeight="1">
      <c r="A47" s="84">
        <v>39</v>
      </c>
      <c r="B47" s="96" t="s">
        <v>274</v>
      </c>
      <c r="C47" s="85" t="s">
        <v>53</v>
      </c>
      <c r="D47" s="86" t="s">
        <v>276</v>
      </c>
      <c r="E47" s="87">
        <v>3885</v>
      </c>
      <c r="F47" s="84" t="s">
        <v>356</v>
      </c>
      <c r="G47" s="84">
        <v>14</v>
      </c>
      <c r="H47" s="88">
        <f>IF($G47="","",INDEX('1. závod'!$A:$CM,$G47+3,INDEX('Základní list'!$B:$B,MATCH($F47,'Základní list'!$A:$A,0),1)))</f>
        <v>9650</v>
      </c>
      <c r="I47" s="89">
        <f>IF($G47="","",INDEX('1. závod'!$A:$CL,$G47+3,INDEX('Základní list'!$B:$B,MATCH($F47,'Základní list'!$A:$A,0),1)+2))</f>
        <v>5</v>
      </c>
      <c r="J47" s="84" t="s">
        <v>353</v>
      </c>
      <c r="K47" s="84">
        <v>16</v>
      </c>
      <c r="L47" s="88">
        <f>IF($K47="","",INDEX('2. závod'!$A:$CM,$K47+3,INDEX('Základní list'!$B:$B,MATCH($J47,'Základní list'!$A:$A,0),1)))</f>
        <v>10000</v>
      </c>
      <c r="M47" s="89">
        <f>IF($K47="","",INDEX('2. závod'!$A:$CM,$K47+3,INDEX('Základní list'!$B:$B,MATCH($J47,'Základní list'!$A:$A,0),1)+2))</f>
        <v>6</v>
      </c>
      <c r="N47" s="88">
        <f t="shared" si="4"/>
        <v>19650</v>
      </c>
      <c r="O47" s="89">
        <f t="shared" si="5"/>
        <v>11</v>
      </c>
      <c r="P47" s="94">
        <v>39</v>
      </c>
      <c r="Q47" s="90" t="str">
        <f t="shared" si="6"/>
        <v>a14</v>
      </c>
      <c r="R47" s="90" t="str">
        <f t="shared" si="7"/>
        <v>f16</v>
      </c>
      <c r="S47" s="90"/>
    </row>
    <row r="48" spans="1:19" ht="18" customHeight="1">
      <c r="A48" s="84">
        <v>40</v>
      </c>
      <c r="B48" s="96" t="s">
        <v>281</v>
      </c>
      <c r="C48" s="85" t="s">
        <v>53</v>
      </c>
      <c r="D48" s="86" t="s">
        <v>297</v>
      </c>
      <c r="E48" s="87">
        <v>3278</v>
      </c>
      <c r="F48" s="84" t="s">
        <v>351</v>
      </c>
      <c r="G48" s="84">
        <v>4</v>
      </c>
      <c r="H48" s="88">
        <f>IF($G48="","",INDEX('1. závod'!$A:$CM,$G48+3,INDEX('Základní list'!$B:$B,MATCH($F48,'Základní list'!$A:$A,0),1)))</f>
        <v>5700</v>
      </c>
      <c r="I48" s="89">
        <f>IF($G48="","",INDEX('1. závod'!$A:$CL,$G48+3,INDEX('Základní list'!$B:$B,MATCH($F48,'Základní list'!$A:$A,0),1)+2))</f>
        <v>8</v>
      </c>
      <c r="J48" s="84" t="s">
        <v>356</v>
      </c>
      <c r="K48" s="84">
        <v>2</v>
      </c>
      <c r="L48" s="88">
        <f>IF($K48="","",INDEX('2. závod'!$A:$CM,$K48+3,INDEX('Základní list'!$B:$B,MATCH($J48,'Základní list'!$A:$A,0),1)))</f>
        <v>13380</v>
      </c>
      <c r="M48" s="89">
        <f>IF($K48="","",INDEX('2. závod'!$A:$CM,$K48+3,INDEX('Základní list'!$B:$B,MATCH($J48,'Základní list'!$A:$A,0),1)+2))</f>
        <v>3</v>
      </c>
      <c r="N48" s="88">
        <f t="shared" si="4"/>
        <v>19080</v>
      </c>
      <c r="O48" s="89">
        <f t="shared" si="5"/>
        <v>11</v>
      </c>
      <c r="P48" s="94">
        <v>40</v>
      </c>
      <c r="Q48" s="90" t="str">
        <f t="shared" si="6"/>
        <v>b4</v>
      </c>
      <c r="R48" s="90" t="str">
        <f t="shared" si="7"/>
        <v>a2</v>
      </c>
      <c r="S48" s="90"/>
    </row>
    <row r="49" spans="1:19" ht="18" customHeight="1">
      <c r="A49" s="84">
        <v>41</v>
      </c>
      <c r="B49" s="96" t="s">
        <v>243</v>
      </c>
      <c r="C49" s="85" t="s">
        <v>53</v>
      </c>
      <c r="D49" s="86" t="s">
        <v>189</v>
      </c>
      <c r="E49" s="87">
        <v>6643</v>
      </c>
      <c r="F49" s="84" t="s">
        <v>354</v>
      </c>
      <c r="G49" s="84">
        <v>9</v>
      </c>
      <c r="H49" s="88">
        <f>IF($G49="","",INDEX('1. závod'!$A:$CM,$G49+3,INDEX('Základní list'!$B:$B,MATCH($F49,'Základní list'!$A:$A,0),1)))</f>
        <v>12090</v>
      </c>
      <c r="I49" s="89">
        <f>IF($G49="","",INDEX('1. závod'!$A:$CL,$G49+3,INDEX('Základní list'!$B:$B,MATCH($F49,'Základní list'!$A:$A,0),1)+2))</f>
        <v>6</v>
      </c>
      <c r="J49" s="84" t="s">
        <v>351</v>
      </c>
      <c r="K49" s="84">
        <v>15</v>
      </c>
      <c r="L49" s="88">
        <f>IF($K49="","",INDEX('2. závod'!$A:$CM,$K49+3,INDEX('Základní list'!$B:$B,MATCH($J49,'Základní list'!$A:$A,0),1)))</f>
        <v>6210</v>
      </c>
      <c r="M49" s="89">
        <f>IF($K49="","",INDEX('2. závod'!$A:$CM,$K49+3,INDEX('Základní list'!$B:$B,MATCH($J49,'Základní list'!$A:$A,0),1)+2))</f>
        <v>5</v>
      </c>
      <c r="N49" s="88">
        <f t="shared" si="4"/>
        <v>18300</v>
      </c>
      <c r="O49" s="89">
        <f t="shared" si="5"/>
        <v>11</v>
      </c>
      <c r="P49" s="94">
        <v>41</v>
      </c>
      <c r="Q49" s="90" t="str">
        <f t="shared" si="6"/>
        <v>i9</v>
      </c>
      <c r="R49" s="90" t="str">
        <f t="shared" si="7"/>
        <v>b15</v>
      </c>
      <c r="S49" s="90"/>
    </row>
    <row r="50" spans="1:19" s="79" customFormat="1" ht="18" customHeight="1">
      <c r="A50" s="84">
        <v>42</v>
      </c>
      <c r="B50" s="172" t="s">
        <v>104</v>
      </c>
      <c r="C50" s="85" t="s">
        <v>53</v>
      </c>
      <c r="D50" s="86" t="s">
        <v>116</v>
      </c>
      <c r="E50" s="87">
        <v>1923</v>
      </c>
      <c r="F50" s="84" t="s">
        <v>354</v>
      </c>
      <c r="G50" s="84">
        <v>7</v>
      </c>
      <c r="H50" s="88">
        <f>IF($G50="","",INDEX('1. závod'!$A:$CM,$G50+3,INDEX('Základní list'!$B:$B,MATCH($F50,'Základní list'!$A:$A,0),1)))</f>
        <v>10330</v>
      </c>
      <c r="I50" s="89">
        <f>IF($G50="","",INDEX('1. závod'!$A:$CL,$G50+3,INDEX('Základní list'!$B:$B,MATCH($F50,'Základní list'!$A:$A,0),1)+2))</f>
        <v>8</v>
      </c>
      <c r="J50" s="84" t="s">
        <v>356</v>
      </c>
      <c r="K50" s="84">
        <v>13</v>
      </c>
      <c r="L50" s="88">
        <f>IF($K50="","",INDEX('2. závod'!$A:$CM,$K50+3,INDEX('Základní list'!$B:$B,MATCH($J50,'Základní list'!$A:$A,0),1)))</f>
        <v>12320</v>
      </c>
      <c r="M50" s="89">
        <f>IF($K50="","",INDEX('2. závod'!$A:$CM,$K50+3,INDEX('Základní list'!$B:$B,MATCH($J50,'Základní list'!$A:$A,0),1)+2))</f>
        <v>4</v>
      </c>
      <c r="N50" s="88">
        <f t="shared" si="4"/>
        <v>22650</v>
      </c>
      <c r="O50" s="89">
        <f t="shared" si="5"/>
        <v>12</v>
      </c>
      <c r="P50" s="94">
        <v>42</v>
      </c>
      <c r="Q50" s="90" t="str">
        <f t="shared" si="6"/>
        <v>i7</v>
      </c>
      <c r="R50" s="90" t="str">
        <f t="shared" si="7"/>
        <v>a13</v>
      </c>
      <c r="S50" s="90"/>
    </row>
    <row r="51" spans="1:19" ht="18" customHeight="1">
      <c r="A51" s="84">
        <v>43</v>
      </c>
      <c r="B51" s="172" t="s">
        <v>177</v>
      </c>
      <c r="C51" s="85" t="s">
        <v>53</v>
      </c>
      <c r="D51" s="86" t="s">
        <v>179</v>
      </c>
      <c r="E51" s="87">
        <v>3677</v>
      </c>
      <c r="F51" s="84" t="s">
        <v>353</v>
      </c>
      <c r="G51" s="84">
        <v>1</v>
      </c>
      <c r="H51" s="88">
        <f>IF($G51="","",INDEX('1. závod'!$A:$CM,$G51+3,INDEX('Základní list'!$B:$B,MATCH($F51,'Základní list'!$A:$A,0),1)))</f>
        <v>14410</v>
      </c>
      <c r="I51" s="103">
        <f>IF($G51="","",INDEX('1. závod'!$A:$CL,$G51+3,INDEX('Základní list'!$B:$B,MATCH($F51,'Základní list'!$A:$A,0),1)+2))</f>
        <v>1</v>
      </c>
      <c r="J51" s="84" t="s">
        <v>356</v>
      </c>
      <c r="K51" s="84">
        <v>10</v>
      </c>
      <c r="L51" s="88">
        <f>IF($K51="","",INDEX('2. závod'!$A:$CM,$K51+3,INDEX('Základní list'!$B:$B,MATCH($J51,'Základní list'!$A:$A,0),1)))</f>
        <v>6670</v>
      </c>
      <c r="M51" s="89">
        <f>IF($K51="","",INDEX('2. závod'!$A:$CM,$K51+3,INDEX('Základní list'!$B:$B,MATCH($J51,'Základní list'!$A:$A,0),1)+2))</f>
        <v>11</v>
      </c>
      <c r="N51" s="88">
        <f t="shared" si="4"/>
        <v>21080</v>
      </c>
      <c r="O51" s="89">
        <f t="shared" si="5"/>
        <v>12</v>
      </c>
      <c r="P51" s="94">
        <v>43</v>
      </c>
      <c r="Q51" s="90" t="str">
        <f t="shared" si="6"/>
        <v>f1</v>
      </c>
      <c r="R51" s="90" t="str">
        <f t="shared" si="7"/>
        <v>a10</v>
      </c>
      <c r="S51" s="90"/>
    </row>
    <row r="52" spans="1:19" ht="18" customHeight="1">
      <c r="A52" s="84">
        <v>44</v>
      </c>
      <c r="B52" s="96" t="s">
        <v>363</v>
      </c>
      <c r="C52" s="85" t="s">
        <v>53</v>
      </c>
      <c r="D52" s="86" t="s">
        <v>343</v>
      </c>
      <c r="E52" s="87">
        <v>3846</v>
      </c>
      <c r="F52" s="84" t="s">
        <v>357</v>
      </c>
      <c r="G52" s="84">
        <v>9</v>
      </c>
      <c r="H52" s="88">
        <f>IF($G52="","",INDEX('1. závod'!$A:$CM,$G52+3,INDEX('Základní list'!$B:$B,MATCH($F52,'Základní list'!$A:$A,0),1)))</f>
        <v>9800</v>
      </c>
      <c r="I52" s="89">
        <f>IF($G52="","",INDEX('1. závod'!$A:$CL,$G52+3,INDEX('Základní list'!$B:$B,MATCH($F52,'Základní list'!$A:$A,0),1)+2))</f>
        <v>6</v>
      </c>
      <c r="J52" s="84" t="s">
        <v>356</v>
      </c>
      <c r="K52" s="84">
        <v>3</v>
      </c>
      <c r="L52" s="88">
        <f>IF($K52="","",INDEX('2. závod'!$A:$CM,$K52+3,INDEX('Základní list'!$B:$B,MATCH($J52,'Základní list'!$A:$A,0),1)))</f>
        <v>10540</v>
      </c>
      <c r="M52" s="89">
        <f>IF($K52="","",INDEX('2. závod'!$A:$CM,$K52+3,INDEX('Základní list'!$B:$B,MATCH($J52,'Základní list'!$A:$A,0),1)+2))</f>
        <v>6</v>
      </c>
      <c r="N52" s="88">
        <f t="shared" si="4"/>
        <v>20340</v>
      </c>
      <c r="O52" s="89">
        <f t="shared" si="5"/>
        <v>12</v>
      </c>
      <c r="P52" s="94">
        <v>44</v>
      </c>
      <c r="Q52" s="90" t="str">
        <f t="shared" si="6"/>
        <v>c9</v>
      </c>
      <c r="R52" s="90" t="str">
        <f t="shared" si="7"/>
        <v>a3</v>
      </c>
      <c r="S52" s="90"/>
    </row>
    <row r="53" spans="1:19" s="79" customFormat="1" ht="18" customHeight="1">
      <c r="A53" s="84">
        <v>45</v>
      </c>
      <c r="B53" s="96" t="s">
        <v>244</v>
      </c>
      <c r="C53" s="85" t="s">
        <v>53</v>
      </c>
      <c r="D53" s="86" t="s">
        <v>292</v>
      </c>
      <c r="E53" s="87">
        <v>4573</v>
      </c>
      <c r="F53" s="84" t="s">
        <v>355</v>
      </c>
      <c r="G53" s="84">
        <v>7</v>
      </c>
      <c r="H53" s="88">
        <f>IF($G53="","",INDEX('1. závod'!$A:$CM,$G53+3,INDEX('Základní list'!$B:$B,MATCH($F53,'Základní list'!$A:$A,0),1)))</f>
        <v>15700</v>
      </c>
      <c r="I53" s="89">
        <f>IF($G53="","",INDEX('1. závod'!$A:$CL,$G53+3,INDEX('Základní list'!$B:$B,MATCH($F53,'Základní list'!$A:$A,0),1)+2))</f>
        <v>3</v>
      </c>
      <c r="J53" s="84" t="s">
        <v>355</v>
      </c>
      <c r="K53" s="84">
        <v>8</v>
      </c>
      <c r="L53" s="88">
        <f>IF($K53="","",INDEX('2. závod'!$A:$CM,$K53+3,INDEX('Základní list'!$B:$B,MATCH($J53,'Základní list'!$A:$A,0),1)))</f>
        <v>2660</v>
      </c>
      <c r="M53" s="89">
        <f>IF($K53="","",INDEX('2. závod'!$A:$CM,$K53+3,INDEX('Základní list'!$B:$B,MATCH($J53,'Základní list'!$A:$A,0),1)+2))</f>
        <v>9</v>
      </c>
      <c r="N53" s="88">
        <f t="shared" si="4"/>
        <v>18360</v>
      </c>
      <c r="O53" s="89">
        <f t="shared" si="5"/>
        <v>12</v>
      </c>
      <c r="P53" s="94">
        <v>45</v>
      </c>
      <c r="Q53" s="90" t="str">
        <f t="shared" si="6"/>
        <v>e7</v>
      </c>
      <c r="R53" s="90" t="str">
        <f t="shared" si="7"/>
        <v>e8</v>
      </c>
      <c r="S53" s="90"/>
    </row>
    <row r="54" spans="1:19" s="79" customFormat="1" ht="18" customHeight="1">
      <c r="A54" s="84">
        <v>46</v>
      </c>
      <c r="B54" s="172" t="s">
        <v>167</v>
      </c>
      <c r="C54" s="85" t="s">
        <v>53</v>
      </c>
      <c r="D54" s="86" t="s">
        <v>118</v>
      </c>
      <c r="E54" s="87">
        <v>3715</v>
      </c>
      <c r="F54" s="84" t="s">
        <v>356</v>
      </c>
      <c r="G54" s="84">
        <v>4</v>
      </c>
      <c r="H54" s="88">
        <f>IF($G54="","",INDEX('1. závod'!$A:$CM,$G54+3,INDEX('Základní list'!$B:$B,MATCH($F54,'Základní list'!$A:$A,0),1)))</f>
        <v>6885</v>
      </c>
      <c r="I54" s="89">
        <f>IF($G54="","",INDEX('1. závod'!$A:$CL,$G54+3,INDEX('Základní list'!$B:$B,MATCH($F54,'Základní list'!$A:$A,0),1)+2))</f>
        <v>7</v>
      </c>
      <c r="J54" s="84" t="s">
        <v>353</v>
      </c>
      <c r="K54" s="84">
        <v>8</v>
      </c>
      <c r="L54" s="88">
        <f>IF($K54="","",INDEX('2. závod'!$A:$CM,$K54+3,INDEX('Základní list'!$B:$B,MATCH($J54,'Základní list'!$A:$A,0),1)))</f>
        <v>10290</v>
      </c>
      <c r="M54" s="89">
        <f>IF($K54="","",INDEX('2. závod'!$A:$CM,$K54+3,INDEX('Základní list'!$B:$B,MATCH($J54,'Základní list'!$A:$A,0),1)+2))</f>
        <v>5</v>
      </c>
      <c r="N54" s="88">
        <f t="shared" si="4"/>
        <v>17175</v>
      </c>
      <c r="O54" s="89">
        <f t="shared" si="5"/>
        <v>12</v>
      </c>
      <c r="P54" s="94">
        <v>46</v>
      </c>
      <c r="Q54" s="90" t="str">
        <f t="shared" si="6"/>
        <v>a4</v>
      </c>
      <c r="R54" s="90" t="str">
        <f t="shared" si="7"/>
        <v>f8</v>
      </c>
      <c r="S54" s="90"/>
    </row>
    <row r="55" spans="1:19" ht="18" customHeight="1">
      <c r="A55" s="84">
        <v>47</v>
      </c>
      <c r="B55" s="96" t="s">
        <v>301</v>
      </c>
      <c r="C55" s="85" t="s">
        <v>53</v>
      </c>
      <c r="D55" s="86" t="s">
        <v>300</v>
      </c>
      <c r="E55" s="87">
        <v>3380</v>
      </c>
      <c r="F55" s="84" t="s">
        <v>355</v>
      </c>
      <c r="G55" s="84">
        <v>8</v>
      </c>
      <c r="H55" s="88">
        <f>IF($G55="","",INDEX('1. závod'!$A:$CM,$G55+3,INDEX('Základní list'!$B:$B,MATCH($F55,'Základní list'!$A:$A,0),1)))</f>
        <v>10810</v>
      </c>
      <c r="I55" s="89">
        <f>IF($G55="","",INDEX('1. závod'!$A:$CL,$G55+3,INDEX('Základní list'!$B:$B,MATCH($F55,'Základní list'!$A:$A,0),1)+2))</f>
        <v>7</v>
      </c>
      <c r="J55" s="84" t="s">
        <v>359</v>
      </c>
      <c r="K55" s="84">
        <v>6</v>
      </c>
      <c r="L55" s="88">
        <f>IF($K55="","",INDEX('2. závod'!$A:$CM,$K55+3,INDEX('Základní list'!$B:$B,MATCH($J55,'Základní list'!$A:$A,0),1)))</f>
        <v>4880</v>
      </c>
      <c r="M55" s="89">
        <f>IF($K55="","",INDEX('2. závod'!$A:$CM,$K55+3,INDEX('Základní list'!$B:$B,MATCH($J55,'Základní list'!$A:$A,0),1)+2))</f>
        <v>5</v>
      </c>
      <c r="N55" s="88">
        <f t="shared" si="4"/>
        <v>15690</v>
      </c>
      <c r="O55" s="89">
        <f t="shared" si="5"/>
        <v>12</v>
      </c>
      <c r="P55" s="94">
        <v>47</v>
      </c>
      <c r="Q55" s="90" t="str">
        <f t="shared" si="6"/>
        <v>e8</v>
      </c>
      <c r="R55" s="90" t="str">
        <f t="shared" si="7"/>
        <v>d6</v>
      </c>
      <c r="S55" s="90"/>
    </row>
    <row r="56" spans="1:19" ht="18" customHeight="1">
      <c r="A56" s="84">
        <v>48</v>
      </c>
      <c r="B56" s="172" t="s">
        <v>214</v>
      </c>
      <c r="C56" s="85" t="s">
        <v>53</v>
      </c>
      <c r="D56" s="86" t="s">
        <v>143</v>
      </c>
      <c r="E56" s="87">
        <v>3422</v>
      </c>
      <c r="F56" s="84" t="s">
        <v>358</v>
      </c>
      <c r="G56" s="84">
        <v>3</v>
      </c>
      <c r="H56" s="88">
        <f>IF($G56="","",INDEX('1. závod'!$A:$CM,$G56+3,INDEX('Základní list'!$B:$B,MATCH($F56,'Základní list'!$A:$A,0),1)))</f>
        <v>10040</v>
      </c>
      <c r="I56" s="89">
        <f>IF($G56="","",INDEX('1. závod'!$A:$CL,$G56+3,INDEX('Základní list'!$B:$B,MATCH($F56,'Základní list'!$A:$A,0),1)+2))</f>
        <v>8</v>
      </c>
      <c r="J56" s="84" t="s">
        <v>359</v>
      </c>
      <c r="K56" s="84">
        <v>7</v>
      </c>
      <c r="L56" s="88">
        <f>IF($K56="","",INDEX('2. závod'!$A:$CM,$K56+3,INDEX('Základní list'!$B:$B,MATCH($J56,'Základní list'!$A:$A,0),1)))</f>
        <v>5000</v>
      </c>
      <c r="M56" s="89">
        <f>IF($K56="","",INDEX('2. závod'!$A:$CM,$K56+3,INDEX('Základní list'!$B:$B,MATCH($J56,'Základní list'!$A:$A,0),1)+2))</f>
        <v>4</v>
      </c>
      <c r="N56" s="88">
        <f t="shared" si="4"/>
        <v>15040</v>
      </c>
      <c r="O56" s="89">
        <f t="shared" si="5"/>
        <v>12</v>
      </c>
      <c r="P56" s="94">
        <v>48</v>
      </c>
      <c r="Q56" s="90" t="str">
        <f t="shared" si="6"/>
        <v>h3</v>
      </c>
      <c r="R56" s="90" t="str">
        <f t="shared" si="7"/>
        <v>d7</v>
      </c>
      <c r="S56" s="90"/>
    </row>
    <row r="57" spans="1:19" s="79" customFormat="1" ht="18" customHeight="1">
      <c r="A57" s="84">
        <v>49</v>
      </c>
      <c r="B57" s="96" t="s">
        <v>288</v>
      </c>
      <c r="C57" s="85" t="s">
        <v>53</v>
      </c>
      <c r="D57" s="86" t="s">
        <v>185</v>
      </c>
      <c r="E57" s="87">
        <v>1106</v>
      </c>
      <c r="F57" s="84" t="s">
        <v>351</v>
      </c>
      <c r="G57" s="84">
        <v>10</v>
      </c>
      <c r="H57" s="88">
        <f>IF($G57="","",INDEX('1. závod'!$A:$CM,$G57+3,INDEX('Základní list'!$B:$B,MATCH($F57,'Základní list'!$A:$A,0),1)))</f>
        <v>11230</v>
      </c>
      <c r="I57" s="89">
        <f>IF($G57="","",INDEX('1. závod'!$A:$CL,$G57+3,INDEX('Základní list'!$B:$B,MATCH($F57,'Základní list'!$A:$A,0),1)+2))</f>
        <v>3</v>
      </c>
      <c r="J57" s="84" t="s">
        <v>358</v>
      </c>
      <c r="K57" s="84">
        <v>9</v>
      </c>
      <c r="L57" s="88">
        <f>IF($K57="","",INDEX('2. závod'!$A:$CM,$K57+3,INDEX('Základní list'!$B:$B,MATCH($J57,'Základní list'!$A:$A,0),1)))</f>
        <v>7610</v>
      </c>
      <c r="M57" s="89">
        <f>IF($K57="","",INDEX('2. závod'!$A:$CM,$K57+3,INDEX('Základní list'!$B:$B,MATCH($J57,'Základní list'!$A:$A,0),1)+2))</f>
        <v>9.5</v>
      </c>
      <c r="N57" s="88">
        <f t="shared" si="4"/>
        <v>18840</v>
      </c>
      <c r="O57" s="89">
        <f t="shared" si="5"/>
        <v>12.5</v>
      </c>
      <c r="P57" s="94">
        <v>49</v>
      </c>
      <c r="Q57" s="90" t="str">
        <f t="shared" si="6"/>
        <v>b10</v>
      </c>
      <c r="R57" s="90" t="str">
        <f t="shared" si="7"/>
        <v>h9</v>
      </c>
      <c r="S57" s="90"/>
    </row>
    <row r="58" spans="1:19" ht="18" customHeight="1">
      <c r="A58" s="84">
        <v>50</v>
      </c>
      <c r="B58" s="96" t="s">
        <v>334</v>
      </c>
      <c r="C58" s="85" t="s">
        <v>53</v>
      </c>
      <c r="D58" s="86" t="s">
        <v>152</v>
      </c>
      <c r="E58" s="87">
        <v>2646</v>
      </c>
      <c r="F58" s="84" t="s">
        <v>354</v>
      </c>
      <c r="G58" s="84">
        <v>14</v>
      </c>
      <c r="H58" s="88">
        <f>IF($G58="","",INDEX('1. závod'!$A:$CM,$G58+3,INDEX('Základní list'!$B:$B,MATCH($F58,'Základní list'!$A:$A,0),1)))</f>
        <v>25040</v>
      </c>
      <c r="I58" s="89">
        <f>IF($G58="","",INDEX('1. závod'!$A:$CL,$G58+3,INDEX('Základní list'!$B:$B,MATCH($F58,'Základní list'!$A:$A,0),1)+2))</f>
        <v>2</v>
      </c>
      <c r="J58" s="84" t="s">
        <v>354</v>
      </c>
      <c r="K58" s="84">
        <v>1</v>
      </c>
      <c r="L58" s="88">
        <f>IF($K58="","",INDEX('2. závod'!$A:$CM,$K58+3,INDEX('Základní list'!$B:$B,MATCH($J58,'Základní list'!$A:$A,0),1)))</f>
        <v>8360</v>
      </c>
      <c r="M58" s="89">
        <f>IF($K58="","",INDEX('2. závod'!$A:$CM,$K58+3,INDEX('Základní list'!$B:$B,MATCH($J58,'Základní list'!$A:$A,0),1)+2))</f>
        <v>11</v>
      </c>
      <c r="N58" s="88">
        <f t="shared" si="4"/>
        <v>33400</v>
      </c>
      <c r="O58" s="89">
        <f t="shared" si="5"/>
        <v>13</v>
      </c>
      <c r="P58" s="94">
        <v>50</v>
      </c>
      <c r="Q58" s="90" t="str">
        <f t="shared" si="6"/>
        <v>i14</v>
      </c>
      <c r="R58" s="90" t="str">
        <f t="shared" si="7"/>
        <v>i1</v>
      </c>
      <c r="S58" s="90"/>
    </row>
    <row r="59" spans="1:19" ht="18" customHeight="1">
      <c r="A59" s="84">
        <v>51</v>
      </c>
      <c r="B59" s="172" t="s">
        <v>153</v>
      </c>
      <c r="C59" s="85" t="s">
        <v>53</v>
      </c>
      <c r="D59" s="86" t="s">
        <v>154</v>
      </c>
      <c r="E59" s="87">
        <v>4625</v>
      </c>
      <c r="F59" s="84" t="s">
        <v>356</v>
      </c>
      <c r="G59" s="84">
        <v>7</v>
      </c>
      <c r="H59" s="88">
        <f>IF($G59="","",INDEX('1. závod'!$A:$CM,$G59+3,INDEX('Základní list'!$B:$B,MATCH($F59,'Základní list'!$A:$A,0),1)))</f>
        <v>9995</v>
      </c>
      <c r="I59" s="89">
        <f>IF($G59="","",INDEX('1. závod'!$A:$CL,$G59+3,INDEX('Základní list'!$B:$B,MATCH($F59,'Základní list'!$A:$A,0),1)+2))</f>
        <v>4</v>
      </c>
      <c r="J59" s="84" t="s">
        <v>353</v>
      </c>
      <c r="K59" s="84">
        <v>12</v>
      </c>
      <c r="L59" s="88">
        <f>IF($K59="","",INDEX('2. závod'!$A:$CM,$K59+3,INDEX('Základní list'!$B:$B,MATCH($J59,'Základní list'!$A:$A,0),1)))</f>
        <v>7950</v>
      </c>
      <c r="M59" s="89">
        <f>IF($K59="","",INDEX('2. závod'!$A:$CM,$K59+3,INDEX('Základní list'!$B:$B,MATCH($J59,'Základní list'!$A:$A,0),1)+2))</f>
        <v>9</v>
      </c>
      <c r="N59" s="88">
        <f t="shared" si="4"/>
        <v>17945</v>
      </c>
      <c r="O59" s="89">
        <f t="shared" si="5"/>
        <v>13</v>
      </c>
      <c r="P59" s="94">
        <v>51</v>
      </c>
      <c r="Q59" s="90" t="str">
        <f t="shared" si="6"/>
        <v>a7</v>
      </c>
      <c r="R59" s="90" t="str">
        <f t="shared" si="7"/>
        <v>f12</v>
      </c>
      <c r="S59" s="90"/>
    </row>
    <row r="60" spans="1:19" ht="18" customHeight="1" collapsed="1">
      <c r="A60" s="84">
        <v>52</v>
      </c>
      <c r="B60" s="96" t="s">
        <v>314</v>
      </c>
      <c r="C60" s="85" t="s">
        <v>53</v>
      </c>
      <c r="D60" s="86" t="s">
        <v>135</v>
      </c>
      <c r="E60" s="87">
        <v>2327</v>
      </c>
      <c r="F60" s="84" t="s">
        <v>352</v>
      </c>
      <c r="G60" s="84">
        <v>10</v>
      </c>
      <c r="H60" s="88">
        <f>IF($G60="","",INDEX('1. závod'!$A:$CM,$G60+3,INDEX('Základní list'!$B:$B,MATCH($F60,'Základní list'!$A:$A,0),1)))</f>
        <v>8640</v>
      </c>
      <c r="I60" s="89">
        <f>IF($G60="","",INDEX('1. závod'!$A:$CL,$G60+3,INDEX('Základní list'!$B:$B,MATCH($F60,'Základní list'!$A:$A,0),1)+2))</f>
        <v>9</v>
      </c>
      <c r="J60" s="84" t="s">
        <v>351</v>
      </c>
      <c r="K60" s="84">
        <v>9</v>
      </c>
      <c r="L60" s="88">
        <f>IF($K60="","",INDEX('2. závod'!$A:$CM,$K60+3,INDEX('Základní list'!$B:$B,MATCH($J60,'Základní list'!$A:$A,0),1)))</f>
        <v>7660</v>
      </c>
      <c r="M60" s="89">
        <f>IF($K60="","",INDEX('2. závod'!$A:$CM,$K60+3,INDEX('Základní list'!$B:$B,MATCH($J60,'Základní list'!$A:$A,0),1)+2))</f>
        <v>4</v>
      </c>
      <c r="N60" s="88">
        <f t="shared" si="4"/>
        <v>16300</v>
      </c>
      <c r="O60" s="89">
        <f t="shared" si="5"/>
        <v>13</v>
      </c>
      <c r="P60" s="94">
        <v>52</v>
      </c>
      <c r="Q60" s="90" t="str">
        <f t="shared" si="6"/>
        <v>g10</v>
      </c>
      <c r="R60" s="90" t="str">
        <f t="shared" si="7"/>
        <v>b9</v>
      </c>
      <c r="S60" s="90"/>
    </row>
    <row r="61" spans="1:19" ht="18" customHeight="1">
      <c r="A61" s="84">
        <v>53</v>
      </c>
      <c r="B61" s="172" t="s">
        <v>112</v>
      </c>
      <c r="C61" s="85" t="s">
        <v>53</v>
      </c>
      <c r="D61" s="86" t="s">
        <v>115</v>
      </c>
      <c r="E61" s="87">
        <v>3834</v>
      </c>
      <c r="F61" s="84" t="s">
        <v>357</v>
      </c>
      <c r="G61" s="84">
        <v>3</v>
      </c>
      <c r="H61" s="88">
        <f>IF($G61="","",INDEX('1. závod'!$A:$CM,$G61+3,INDEX('Základní list'!$B:$B,MATCH($F61,'Základní list'!$A:$A,0),1)))</f>
        <v>13585</v>
      </c>
      <c r="I61" s="103">
        <f>IF($G61="","",INDEX('1. závod'!$A:$CL,$G61+3,INDEX('Základní list'!$B:$B,MATCH($F61,'Základní list'!$A:$A,0),1)+2))</f>
        <v>1</v>
      </c>
      <c r="J61" s="84" t="s">
        <v>355</v>
      </c>
      <c r="K61" s="84">
        <v>1</v>
      </c>
      <c r="L61" s="88">
        <f>IF($K61="","",INDEX('2. závod'!$A:$CM,$K61+3,INDEX('Základní list'!$B:$B,MATCH($J61,'Základní list'!$A:$A,0),1)))</f>
        <v>1660</v>
      </c>
      <c r="M61" s="89">
        <f>IF($K61="","",INDEX('2. závod'!$A:$CM,$K61+3,INDEX('Základní list'!$B:$B,MATCH($J61,'Základní list'!$A:$A,0),1)+2))</f>
        <v>12</v>
      </c>
      <c r="N61" s="88">
        <f t="shared" si="4"/>
        <v>15245</v>
      </c>
      <c r="O61" s="89">
        <f t="shared" si="5"/>
        <v>13</v>
      </c>
      <c r="P61" s="94">
        <v>53</v>
      </c>
      <c r="Q61" s="90" t="str">
        <f t="shared" si="6"/>
        <v>c3</v>
      </c>
      <c r="R61" s="90" t="str">
        <f t="shared" si="7"/>
        <v>e1</v>
      </c>
      <c r="S61" s="90"/>
    </row>
    <row r="62" spans="1:19" s="79" customFormat="1" ht="18" customHeight="1">
      <c r="A62" s="84">
        <v>54</v>
      </c>
      <c r="B62" s="96" t="s">
        <v>341</v>
      </c>
      <c r="C62" s="85" t="s">
        <v>53</v>
      </c>
      <c r="D62" s="86" t="s">
        <v>342</v>
      </c>
      <c r="E62" s="87">
        <v>3366</v>
      </c>
      <c r="F62" s="84" t="s">
        <v>359</v>
      </c>
      <c r="G62" s="84">
        <v>5</v>
      </c>
      <c r="H62" s="88">
        <f>IF($G62="","",INDEX('1. závod'!$A:$CM,$G62+3,INDEX('Základní list'!$B:$B,MATCH($F62,'Základní list'!$A:$A,0),1)))</f>
        <v>9320</v>
      </c>
      <c r="I62" s="89">
        <f>IF($G62="","",INDEX('1. závod'!$A:$CL,$G62+3,INDEX('Základní list'!$B:$B,MATCH($F62,'Základní list'!$A:$A,0),1)+2))</f>
        <v>6</v>
      </c>
      <c r="J62" s="84" t="s">
        <v>359</v>
      </c>
      <c r="K62" s="84">
        <v>16</v>
      </c>
      <c r="L62" s="88">
        <f>IF($K62="","",INDEX('2. závod'!$A:$CM,$K62+3,INDEX('Základní list'!$B:$B,MATCH($J62,'Základní list'!$A:$A,0),1)))</f>
        <v>3940</v>
      </c>
      <c r="M62" s="89">
        <f>IF($K62="","",INDEX('2. závod'!$A:$CM,$K62+3,INDEX('Základní list'!$B:$B,MATCH($J62,'Základní list'!$A:$A,0),1)+2))</f>
        <v>7</v>
      </c>
      <c r="N62" s="88">
        <f t="shared" si="4"/>
        <v>13260</v>
      </c>
      <c r="O62" s="89">
        <f t="shared" si="5"/>
        <v>13</v>
      </c>
      <c r="P62" s="94">
        <v>54</v>
      </c>
      <c r="Q62" s="90" t="str">
        <f t="shared" si="6"/>
        <v>d5</v>
      </c>
      <c r="R62" s="90" t="str">
        <f t="shared" si="7"/>
        <v>d16</v>
      </c>
      <c r="S62" s="90"/>
    </row>
    <row r="63" spans="1:19" ht="18" customHeight="1">
      <c r="A63" s="84">
        <v>55</v>
      </c>
      <c r="B63" s="96" t="s">
        <v>270</v>
      </c>
      <c r="C63" s="85" t="s">
        <v>53</v>
      </c>
      <c r="D63" s="86" t="s">
        <v>120</v>
      </c>
      <c r="E63" s="87">
        <v>5791</v>
      </c>
      <c r="F63" s="84" t="s">
        <v>351</v>
      </c>
      <c r="G63" s="84">
        <v>14</v>
      </c>
      <c r="H63" s="88">
        <f>IF($G63="","",INDEX('1. závod'!$A:$CM,$G63+3,INDEX('Základní list'!$B:$B,MATCH($F63,'Základní list'!$A:$A,0),1)))</f>
        <v>10410</v>
      </c>
      <c r="I63" s="89">
        <f>IF($G63="","",INDEX('1. závod'!$A:$CL,$G63+3,INDEX('Základní list'!$B:$B,MATCH($F63,'Základní list'!$A:$A,0),1)+2))</f>
        <v>4</v>
      </c>
      <c r="J63" s="84" t="s">
        <v>359</v>
      </c>
      <c r="K63" s="84">
        <v>4</v>
      </c>
      <c r="L63" s="88">
        <f>IF($K63="","",INDEX('2. závod'!$A:$CM,$K63+3,INDEX('Základní list'!$B:$B,MATCH($J63,'Základní list'!$A:$A,0),1)))</f>
        <v>2420</v>
      </c>
      <c r="M63" s="89">
        <f>IF($K63="","",INDEX('2. závod'!$A:$CM,$K63+3,INDEX('Základní list'!$B:$B,MATCH($J63,'Základní list'!$A:$A,0),1)+2))</f>
        <v>9</v>
      </c>
      <c r="N63" s="88">
        <f t="shared" si="4"/>
        <v>12830</v>
      </c>
      <c r="O63" s="89">
        <f t="shared" si="5"/>
        <v>13</v>
      </c>
      <c r="P63" s="94">
        <v>55</v>
      </c>
      <c r="Q63" s="90" t="str">
        <f t="shared" si="6"/>
        <v>b14</v>
      </c>
      <c r="R63" s="90" t="str">
        <f t="shared" si="7"/>
        <v>d4</v>
      </c>
      <c r="S63" s="90"/>
    </row>
    <row r="64" spans="1:19" ht="18" customHeight="1">
      <c r="A64" s="84">
        <v>56</v>
      </c>
      <c r="B64" s="172" t="s">
        <v>218</v>
      </c>
      <c r="C64" s="85" t="s">
        <v>53</v>
      </c>
      <c r="D64" s="86" t="s">
        <v>189</v>
      </c>
      <c r="E64" s="87">
        <v>6931</v>
      </c>
      <c r="F64" s="84" t="s">
        <v>355</v>
      </c>
      <c r="G64" s="84">
        <v>9</v>
      </c>
      <c r="H64" s="88">
        <f>IF($G64="","",INDEX('1. závod'!$A:$CM,$G64+3,INDEX('Základní list'!$B:$B,MATCH($F64,'Základní list'!$A:$A,0),1)))</f>
        <v>7930</v>
      </c>
      <c r="I64" s="89">
        <f>IF($G64="","",INDEX('1. závod'!$A:$CL,$G64+3,INDEX('Základní list'!$B:$B,MATCH($F64,'Základní list'!$A:$A,0),1)+2))</f>
        <v>11</v>
      </c>
      <c r="J64" s="84" t="s">
        <v>354</v>
      </c>
      <c r="K64" s="84">
        <v>9</v>
      </c>
      <c r="L64" s="88">
        <f>IF($K64="","",INDEX('2. závod'!$A:$CM,$K64+3,INDEX('Základní list'!$B:$B,MATCH($J64,'Základní list'!$A:$A,0),1)))</f>
        <v>19060</v>
      </c>
      <c r="M64" s="89">
        <f>IF($K64="","",INDEX('2. závod'!$A:$CM,$K64+3,INDEX('Základní list'!$B:$B,MATCH($J64,'Základní list'!$A:$A,0),1)+2))</f>
        <v>3</v>
      </c>
      <c r="N64" s="88">
        <f t="shared" si="4"/>
        <v>26990</v>
      </c>
      <c r="O64" s="89">
        <f t="shared" si="5"/>
        <v>14</v>
      </c>
      <c r="P64" s="94">
        <v>56</v>
      </c>
      <c r="Q64" s="90" t="str">
        <f t="shared" si="6"/>
        <v>e9</v>
      </c>
      <c r="R64" s="90" t="str">
        <f t="shared" si="7"/>
        <v>i9</v>
      </c>
      <c r="S64" s="90"/>
    </row>
    <row r="65" spans="1:19" s="79" customFormat="1" ht="18" customHeight="1">
      <c r="A65" s="84">
        <v>57</v>
      </c>
      <c r="B65" s="96" t="s">
        <v>272</v>
      </c>
      <c r="C65" s="85" t="s">
        <v>53</v>
      </c>
      <c r="D65" s="86" t="s">
        <v>275</v>
      </c>
      <c r="E65" s="87">
        <v>3733</v>
      </c>
      <c r="F65" s="84" t="s">
        <v>358</v>
      </c>
      <c r="G65" s="84">
        <v>10</v>
      </c>
      <c r="H65" s="88">
        <f>IF($G65="","",INDEX('1. závod'!$A:$CM,$G65+3,INDEX('Základní list'!$B:$B,MATCH($F65,'Základní list'!$A:$A,0),1)))</f>
        <v>10060</v>
      </c>
      <c r="I65" s="89">
        <f>IF($G65="","",INDEX('1. závod'!$A:$CL,$G65+3,INDEX('Základní list'!$B:$B,MATCH($F65,'Základní list'!$A:$A,0),1)+2))</f>
        <v>7</v>
      </c>
      <c r="J65" s="84" t="s">
        <v>352</v>
      </c>
      <c r="K65" s="84">
        <v>7</v>
      </c>
      <c r="L65" s="88">
        <f>IF($K65="","",INDEX('2. závod'!$A:$CM,$K65+3,INDEX('Základní list'!$B:$B,MATCH($J65,'Základní list'!$A:$A,0),1)))</f>
        <v>12430</v>
      </c>
      <c r="M65" s="89">
        <f>IF($K65="","",INDEX('2. závod'!$A:$CM,$K65+3,INDEX('Základní list'!$B:$B,MATCH($J65,'Základní list'!$A:$A,0),1)+2))</f>
        <v>7</v>
      </c>
      <c r="N65" s="88">
        <f t="shared" si="4"/>
        <v>22490</v>
      </c>
      <c r="O65" s="89">
        <f t="shared" si="5"/>
        <v>14</v>
      </c>
      <c r="P65" s="94">
        <v>57</v>
      </c>
      <c r="Q65" s="90" t="str">
        <f t="shared" si="6"/>
        <v>h10</v>
      </c>
      <c r="R65" s="90" t="str">
        <f t="shared" si="7"/>
        <v>g7</v>
      </c>
      <c r="S65" s="90"/>
    </row>
    <row r="66" spans="1:19" ht="15.75">
      <c r="A66" s="84">
        <v>58</v>
      </c>
      <c r="B66" s="96" t="s">
        <v>266</v>
      </c>
      <c r="C66" s="85" t="s">
        <v>53</v>
      </c>
      <c r="D66" s="86" t="s">
        <v>267</v>
      </c>
      <c r="E66" s="87">
        <v>3055</v>
      </c>
      <c r="F66" s="84" t="s">
        <v>358</v>
      </c>
      <c r="G66" s="84">
        <v>16</v>
      </c>
      <c r="H66" s="88">
        <f>IF($G66="","",INDEX('1. závod'!$A:$CM,$G66+3,INDEX('Základní list'!$B:$B,MATCH($F66,'Základní list'!$A:$A,0),1)))</f>
        <v>11860</v>
      </c>
      <c r="I66" s="89">
        <f>IF($G66="","",INDEX('1. závod'!$A:$CL,$G66+3,INDEX('Základní list'!$B:$B,MATCH($F66,'Základní list'!$A:$A,0),1)+2))</f>
        <v>4</v>
      </c>
      <c r="J66" s="84" t="s">
        <v>352</v>
      </c>
      <c r="K66" s="84">
        <v>8</v>
      </c>
      <c r="L66" s="88">
        <f>IF($K66="","",INDEX('2. závod'!$A:$CM,$K66+3,INDEX('Základní list'!$B:$B,MATCH($J66,'Základní list'!$A:$A,0),1)))</f>
        <v>9710</v>
      </c>
      <c r="M66" s="89">
        <f>IF($K66="","",INDEX('2. závod'!$A:$CM,$K66+3,INDEX('Základní list'!$B:$B,MATCH($J66,'Základní list'!$A:$A,0),1)+2))</f>
        <v>10</v>
      </c>
      <c r="N66" s="88">
        <f t="shared" si="4"/>
        <v>21570</v>
      </c>
      <c r="O66" s="89">
        <f t="shared" si="5"/>
        <v>14</v>
      </c>
      <c r="P66" s="94">
        <v>58</v>
      </c>
      <c r="Q66" s="90" t="str">
        <f t="shared" si="6"/>
        <v>h16</v>
      </c>
      <c r="R66" s="90" t="str">
        <f t="shared" si="7"/>
        <v>g8</v>
      </c>
      <c r="S66" s="90"/>
    </row>
    <row r="67" spans="1:19" ht="15.75">
      <c r="A67" s="84">
        <v>59</v>
      </c>
      <c r="B67" s="171" t="s">
        <v>138</v>
      </c>
      <c r="C67" s="85" t="s">
        <v>53</v>
      </c>
      <c r="D67" s="86" t="s">
        <v>139</v>
      </c>
      <c r="E67" s="87">
        <v>2355</v>
      </c>
      <c r="F67" s="84" t="s">
        <v>356</v>
      </c>
      <c r="G67" s="84">
        <v>3</v>
      </c>
      <c r="H67" s="88">
        <f>IF($G67="","",INDEX('1. závod'!$A:$CM,$G67+3,INDEX('Základní list'!$B:$B,MATCH($F67,'Základní list'!$A:$A,0),1)))</f>
        <v>4440</v>
      </c>
      <c r="I67" s="89">
        <f>IF($G67="","",INDEX('1. závod'!$A:$CL,$G67+3,INDEX('Základní list'!$B:$B,MATCH($F67,'Základní list'!$A:$A,0),1)+2))</f>
        <v>10</v>
      </c>
      <c r="J67" s="84" t="s">
        <v>354</v>
      </c>
      <c r="K67" s="84">
        <v>11</v>
      </c>
      <c r="L67" s="88">
        <f>IF($K67="","",INDEX('2. závod'!$A:$CM,$K67+3,INDEX('Základní list'!$B:$B,MATCH($J67,'Základní list'!$A:$A,0),1)))</f>
        <v>16830</v>
      </c>
      <c r="M67" s="89">
        <f>IF($K67="","",INDEX('2. závod'!$A:$CM,$K67+3,INDEX('Základní list'!$B:$B,MATCH($J67,'Základní list'!$A:$A,0),1)+2))</f>
        <v>4</v>
      </c>
      <c r="N67" s="88">
        <f t="shared" si="4"/>
        <v>21270</v>
      </c>
      <c r="O67" s="89">
        <f t="shared" si="5"/>
        <v>14</v>
      </c>
      <c r="P67" s="94">
        <v>59</v>
      </c>
      <c r="Q67" s="90" t="str">
        <f t="shared" si="6"/>
        <v>a3</v>
      </c>
      <c r="R67" s="90" t="str">
        <f t="shared" si="7"/>
        <v>i11</v>
      </c>
      <c r="S67" s="90"/>
    </row>
    <row r="68" spans="1:19" ht="15.75">
      <c r="A68" s="84">
        <v>60</v>
      </c>
      <c r="B68" s="172" t="s">
        <v>158</v>
      </c>
      <c r="C68" s="85" t="s">
        <v>53</v>
      </c>
      <c r="D68" s="86" t="s">
        <v>157</v>
      </c>
      <c r="E68" s="87">
        <v>2588</v>
      </c>
      <c r="F68" s="84" t="s">
        <v>355</v>
      </c>
      <c r="G68" s="84">
        <v>2</v>
      </c>
      <c r="H68" s="88">
        <f>IF($G68="","",INDEX('1. závod'!$A:$CM,$G68+3,INDEX('Základní list'!$B:$B,MATCH($F68,'Základní list'!$A:$A,0),1)))</f>
        <v>9350</v>
      </c>
      <c r="I68" s="89">
        <f>IF($G68="","",INDEX('1. závod'!$A:$CL,$G68+3,INDEX('Základní list'!$B:$B,MATCH($F68,'Základní list'!$A:$A,0),1)+2))</f>
        <v>9</v>
      </c>
      <c r="J68" s="84" t="s">
        <v>358</v>
      </c>
      <c r="K68" s="84">
        <v>13</v>
      </c>
      <c r="L68" s="88">
        <f>IF($K68="","",INDEX('2. závod'!$A:$CM,$K68+3,INDEX('Základní list'!$B:$B,MATCH($J68,'Základní list'!$A:$A,0),1)))</f>
        <v>11710</v>
      </c>
      <c r="M68" s="89">
        <f>IF($K68="","",INDEX('2. závod'!$A:$CM,$K68+3,INDEX('Základní list'!$B:$B,MATCH($J68,'Základní list'!$A:$A,0),1)+2))</f>
        <v>5</v>
      </c>
      <c r="N68" s="88">
        <f t="shared" si="4"/>
        <v>21060</v>
      </c>
      <c r="O68" s="89">
        <f t="shared" si="5"/>
        <v>14</v>
      </c>
      <c r="P68" s="94">
        <v>60</v>
      </c>
      <c r="Q68" s="90" t="str">
        <f t="shared" si="6"/>
        <v>e2</v>
      </c>
      <c r="R68" s="90" t="str">
        <f t="shared" si="7"/>
        <v>h13</v>
      </c>
      <c r="S68" s="90"/>
    </row>
    <row r="69" spans="1:19" s="79" customFormat="1" ht="15.75">
      <c r="A69" s="84">
        <v>61</v>
      </c>
      <c r="B69" s="96" t="s">
        <v>225</v>
      </c>
      <c r="C69" s="85" t="s">
        <v>53</v>
      </c>
      <c r="D69" s="86" t="s">
        <v>292</v>
      </c>
      <c r="E69" s="87">
        <v>4075</v>
      </c>
      <c r="F69" s="84" t="s">
        <v>356</v>
      </c>
      <c r="G69" s="84">
        <v>6</v>
      </c>
      <c r="H69" s="88">
        <f>IF($G69="","",INDEX('1. závod'!$A:$CM,$G69+3,INDEX('Základní list'!$B:$B,MATCH($F69,'Základní list'!$A:$A,0),1)))</f>
        <v>5710</v>
      </c>
      <c r="I69" s="89">
        <f>IF($G69="","",INDEX('1. závod'!$A:$CL,$G69+3,INDEX('Základní list'!$B:$B,MATCH($F69,'Základní list'!$A:$A,0),1)+2))</f>
        <v>9</v>
      </c>
      <c r="J69" s="84" t="s">
        <v>352</v>
      </c>
      <c r="K69" s="84">
        <v>6</v>
      </c>
      <c r="L69" s="88">
        <f>IF($K69="","",INDEX('2. závod'!$A:$CM,$K69+3,INDEX('Základní list'!$B:$B,MATCH($J69,'Základní list'!$A:$A,0),1)))</f>
        <v>13080</v>
      </c>
      <c r="M69" s="89">
        <f>IF($K69="","",INDEX('2. závod'!$A:$CM,$K69+3,INDEX('Základní list'!$B:$B,MATCH($J69,'Základní list'!$A:$A,0),1)+2))</f>
        <v>5</v>
      </c>
      <c r="N69" s="88">
        <f t="shared" si="4"/>
        <v>18790</v>
      </c>
      <c r="O69" s="89">
        <f t="shared" si="5"/>
        <v>14</v>
      </c>
      <c r="P69" s="94">
        <v>61</v>
      </c>
      <c r="Q69" s="90" t="str">
        <f t="shared" si="6"/>
        <v>a6</v>
      </c>
      <c r="R69" s="90" t="str">
        <f t="shared" si="7"/>
        <v>g6</v>
      </c>
      <c r="S69" s="90"/>
    </row>
    <row r="70" spans="1:19" ht="18" customHeight="1">
      <c r="A70" s="84">
        <v>62</v>
      </c>
      <c r="B70" s="172" t="s">
        <v>102</v>
      </c>
      <c r="C70" s="85" t="s">
        <v>53</v>
      </c>
      <c r="D70" s="86" t="s">
        <v>250</v>
      </c>
      <c r="E70" s="87">
        <v>6927</v>
      </c>
      <c r="F70" s="84" t="s">
        <v>353</v>
      </c>
      <c r="G70" s="84">
        <v>4</v>
      </c>
      <c r="H70" s="88">
        <f>IF($G70="","",INDEX('1. závod'!$A:$CM,$G70+3,INDEX('Základní list'!$B:$B,MATCH($F70,'Základní list'!$A:$A,0),1)))</f>
        <v>5870</v>
      </c>
      <c r="I70" s="89">
        <f>IF($G70="","",INDEX('1. závod'!$A:$CL,$G70+3,INDEX('Základní list'!$B:$B,MATCH($F70,'Základní list'!$A:$A,0),1)+2))</f>
        <v>8</v>
      </c>
      <c r="J70" s="84" t="s">
        <v>357</v>
      </c>
      <c r="K70" s="84">
        <v>7</v>
      </c>
      <c r="L70" s="88">
        <f>IF($K70="","",INDEX('2. závod'!$A:$CM,$K70+3,INDEX('Základní list'!$B:$B,MATCH($J70,'Základní list'!$A:$A,0),1)))</f>
        <v>6460</v>
      </c>
      <c r="M70" s="89">
        <f>IF($K70="","",INDEX('2. závod'!$A:$CM,$K70+3,INDEX('Základní list'!$B:$B,MATCH($J70,'Základní list'!$A:$A,0),1)+2))</f>
        <v>6</v>
      </c>
      <c r="N70" s="88">
        <f t="shared" si="4"/>
        <v>12330</v>
      </c>
      <c r="O70" s="89">
        <f t="shared" si="5"/>
        <v>14</v>
      </c>
      <c r="P70" s="94">
        <v>62</v>
      </c>
      <c r="Q70" s="90" t="str">
        <f t="shared" si="6"/>
        <v>f4</v>
      </c>
      <c r="R70" s="90" t="str">
        <f t="shared" si="7"/>
        <v>c7</v>
      </c>
      <c r="S70" s="90"/>
    </row>
    <row r="71" spans="1:19" s="79" customFormat="1" ht="15.75">
      <c r="A71" s="84">
        <v>63</v>
      </c>
      <c r="B71" s="96" t="s">
        <v>188</v>
      </c>
      <c r="C71" s="85" t="s">
        <v>53</v>
      </c>
      <c r="D71" s="86" t="s">
        <v>190</v>
      </c>
      <c r="E71" s="87">
        <v>6846</v>
      </c>
      <c r="F71" s="84" t="s">
        <v>351</v>
      </c>
      <c r="G71" s="84">
        <v>5</v>
      </c>
      <c r="H71" s="88">
        <f>IF($G71="","",INDEX('1. závod'!$A:$CM,$G71+3,INDEX('Základní list'!$B:$B,MATCH($F71,'Základní list'!$A:$A,0),1)))</f>
        <v>6410</v>
      </c>
      <c r="I71" s="89">
        <f>IF($G71="","",INDEX('1. závod'!$A:$CL,$G71+3,INDEX('Základní list'!$B:$B,MATCH($F71,'Základní list'!$A:$A,0),1)+2))</f>
        <v>6</v>
      </c>
      <c r="J71" s="84" t="s">
        <v>355</v>
      </c>
      <c r="K71" s="84">
        <v>6</v>
      </c>
      <c r="L71" s="88">
        <f>IF($K71="","",INDEX('2. závod'!$A:$CM,$K71+3,INDEX('Základní list'!$B:$B,MATCH($J71,'Základní list'!$A:$A,0),1)))</f>
        <v>3440</v>
      </c>
      <c r="M71" s="89">
        <f>IF($K71="","",INDEX('2. závod'!$A:$CM,$K71+3,INDEX('Základní list'!$B:$B,MATCH($J71,'Základní list'!$A:$A,0),1)+2))</f>
        <v>8</v>
      </c>
      <c r="N71" s="88">
        <f t="shared" si="4"/>
        <v>9850</v>
      </c>
      <c r="O71" s="89">
        <f t="shared" si="5"/>
        <v>14</v>
      </c>
      <c r="P71" s="94">
        <v>63</v>
      </c>
      <c r="Q71" s="90" t="str">
        <f t="shared" si="6"/>
        <v>b5</v>
      </c>
      <c r="R71" s="90" t="str">
        <f t="shared" si="7"/>
        <v>e6</v>
      </c>
      <c r="S71" s="90"/>
    </row>
    <row r="72" spans="1:19" ht="15.75">
      <c r="A72" s="84">
        <v>64</v>
      </c>
      <c r="B72" s="96" t="s">
        <v>280</v>
      </c>
      <c r="C72" s="85" t="s">
        <v>53</v>
      </c>
      <c r="D72" s="86" t="s">
        <v>246</v>
      </c>
      <c r="E72" s="87">
        <v>3392</v>
      </c>
      <c r="F72" s="84" t="s">
        <v>359</v>
      </c>
      <c r="G72" s="84">
        <v>12</v>
      </c>
      <c r="H72" s="88">
        <f>IF($G72="","",INDEX('1. závod'!$A:$CM,$G72+3,INDEX('Základní list'!$B:$B,MATCH($F72,'Základní list'!$A:$A,0),1)))</f>
        <v>7600</v>
      </c>
      <c r="I72" s="89">
        <f>IF($G72="","",INDEX('1. závod'!$A:$CL,$G72+3,INDEX('Základní list'!$B:$B,MATCH($F72,'Základní list'!$A:$A,0),1)+2))</f>
        <v>8</v>
      </c>
      <c r="J72" s="84" t="s">
        <v>358</v>
      </c>
      <c r="K72" s="84">
        <v>4</v>
      </c>
      <c r="L72" s="88">
        <f>IF($K72="","",INDEX('2. závod'!$A:$CM,$K72+3,INDEX('Základní list'!$B:$B,MATCH($J72,'Základní list'!$A:$A,0),1)))</f>
        <v>9710</v>
      </c>
      <c r="M72" s="89">
        <f>IF($K72="","",INDEX('2. závod'!$A:$CM,$K72+3,INDEX('Základní list'!$B:$B,MATCH($J72,'Základní list'!$A:$A,0),1)+2))</f>
        <v>7</v>
      </c>
      <c r="N72" s="88">
        <f t="shared" si="4"/>
        <v>17310</v>
      </c>
      <c r="O72" s="89">
        <f t="shared" si="5"/>
        <v>15</v>
      </c>
      <c r="P72" s="94">
        <v>64</v>
      </c>
      <c r="Q72" s="90" t="str">
        <f t="shared" si="6"/>
        <v>d12</v>
      </c>
      <c r="R72" s="90" t="str">
        <f t="shared" si="7"/>
        <v>h4</v>
      </c>
      <c r="S72" s="90"/>
    </row>
    <row r="73" spans="1:19" ht="18" customHeight="1">
      <c r="A73" s="84">
        <v>65</v>
      </c>
      <c r="B73" s="96" t="s">
        <v>304</v>
      </c>
      <c r="C73" s="85" t="s">
        <v>53</v>
      </c>
      <c r="D73" s="86" t="s">
        <v>257</v>
      </c>
      <c r="E73" s="87">
        <v>6915</v>
      </c>
      <c r="F73" s="84" t="s">
        <v>357</v>
      </c>
      <c r="G73" s="84">
        <v>14</v>
      </c>
      <c r="H73" s="88">
        <f>IF($G73="","",INDEX('1. závod'!$A:$CM,$G73+3,INDEX('Základní list'!$B:$B,MATCH($F73,'Základní list'!$A:$A,0),1)))</f>
        <v>8985</v>
      </c>
      <c r="I73" s="89">
        <f>IF($G73="","",INDEX('1. závod'!$A:$CL,$G73+3,INDEX('Základní list'!$B:$B,MATCH($F73,'Základní list'!$A:$A,0),1)+2))</f>
        <v>8</v>
      </c>
      <c r="J73" s="84" t="s">
        <v>357</v>
      </c>
      <c r="K73" s="84">
        <v>16</v>
      </c>
      <c r="L73" s="88">
        <f>IF($K73="","",INDEX('2. závod'!$A:$CM,$K73+3,INDEX('Základní list'!$B:$B,MATCH($J73,'Základní list'!$A:$A,0),1)))</f>
        <v>6160</v>
      </c>
      <c r="M73" s="89">
        <f>IF($K73="","",INDEX('2. závod'!$A:$CM,$K73+3,INDEX('Základní list'!$B:$B,MATCH($J73,'Základní list'!$A:$A,0),1)+2))</f>
        <v>7</v>
      </c>
      <c r="N73" s="88">
        <f aca="true" t="shared" si="8" ref="N73:N104">IF($K73="","",SUM(H73,L73))</f>
        <v>15145</v>
      </c>
      <c r="O73" s="89">
        <f aca="true" t="shared" si="9" ref="O73:O104">IF($K73="","",SUM(I73,M73))</f>
        <v>15</v>
      </c>
      <c r="P73" s="94">
        <v>65</v>
      </c>
      <c r="Q73" s="90" t="str">
        <f aca="true" t="shared" si="10" ref="Q73:Q104">CONCATENATE(F73,G73)</f>
        <v>c14</v>
      </c>
      <c r="R73" s="90" t="str">
        <f aca="true" t="shared" si="11" ref="R73:R104">CONCATENATE(J73,K73)</f>
        <v>c16</v>
      </c>
      <c r="S73" s="90"/>
    </row>
    <row r="74" spans="1:19" s="79" customFormat="1" ht="18" customHeight="1">
      <c r="A74" s="84">
        <v>66</v>
      </c>
      <c r="B74" s="96" t="s">
        <v>294</v>
      </c>
      <c r="C74" s="85" t="s">
        <v>53</v>
      </c>
      <c r="D74" s="86" t="s">
        <v>192</v>
      </c>
      <c r="E74" s="87">
        <v>2298</v>
      </c>
      <c r="F74" s="84" t="s">
        <v>354</v>
      </c>
      <c r="G74" s="84">
        <v>5</v>
      </c>
      <c r="H74" s="88">
        <f>IF($G74="","",INDEX('1. závod'!$A:$CM,$G74+3,INDEX('Základní list'!$B:$B,MATCH($F74,'Základní list'!$A:$A,0),1)))</f>
        <v>11130</v>
      </c>
      <c r="I74" s="89">
        <f>IF($G74="","",INDEX('1. závod'!$A:$CL,$G74+3,INDEX('Základní list'!$B:$B,MATCH($F74,'Základní list'!$A:$A,0),1)+2))</f>
        <v>7</v>
      </c>
      <c r="J74" s="84" t="s">
        <v>359</v>
      </c>
      <c r="K74" s="84">
        <v>13</v>
      </c>
      <c r="L74" s="88">
        <f>IF($K74="","",INDEX('2. závod'!$A:$CM,$K74+3,INDEX('Základní list'!$B:$B,MATCH($J74,'Základní list'!$A:$A,0),1)))</f>
        <v>3500</v>
      </c>
      <c r="M74" s="89">
        <f>IF($K74="","",INDEX('2. závod'!$A:$CM,$K74+3,INDEX('Základní list'!$B:$B,MATCH($J74,'Základní list'!$A:$A,0),1)+2))</f>
        <v>8</v>
      </c>
      <c r="N74" s="88">
        <f t="shared" si="8"/>
        <v>14630</v>
      </c>
      <c r="O74" s="89">
        <f t="shared" si="9"/>
        <v>15</v>
      </c>
      <c r="P74" s="94">
        <v>66</v>
      </c>
      <c r="Q74" s="90" t="str">
        <f t="shared" si="10"/>
        <v>i5</v>
      </c>
      <c r="R74" s="90" t="str">
        <f t="shared" si="11"/>
        <v>d13</v>
      </c>
      <c r="S74" s="90"/>
    </row>
    <row r="75" spans="1:19" ht="18" customHeight="1">
      <c r="A75" s="84">
        <v>67</v>
      </c>
      <c r="B75" s="172" t="s">
        <v>159</v>
      </c>
      <c r="C75" s="85" t="s">
        <v>53</v>
      </c>
      <c r="D75" s="86" t="s">
        <v>157</v>
      </c>
      <c r="E75" s="87">
        <v>3899</v>
      </c>
      <c r="F75" s="84" t="s">
        <v>351</v>
      </c>
      <c r="G75" s="84">
        <v>2</v>
      </c>
      <c r="H75" s="88">
        <f>IF($G75="","",INDEX('1. závod'!$A:$CM,$G75+3,INDEX('Základní list'!$B:$B,MATCH($F75,'Základní list'!$A:$A,0),1)))</f>
        <v>6180</v>
      </c>
      <c r="I75" s="89">
        <f>IF($G75="","",INDEX('1. závod'!$A:$CL,$G75+3,INDEX('Základní list'!$B:$B,MATCH($F75,'Základní list'!$A:$A,0),1)+2))</f>
        <v>7</v>
      </c>
      <c r="J75" s="84" t="s">
        <v>357</v>
      </c>
      <c r="K75" s="84">
        <v>10</v>
      </c>
      <c r="L75" s="88">
        <f>IF($K75="","",INDEX('2. závod'!$A:$CM,$K75+3,INDEX('Základní list'!$B:$B,MATCH($J75,'Základní list'!$A:$A,0),1)))</f>
        <v>5910</v>
      </c>
      <c r="M75" s="89">
        <f>IF($K75="","",INDEX('2. závod'!$A:$CM,$K75+3,INDEX('Základní list'!$B:$B,MATCH($J75,'Základní list'!$A:$A,0),1)+2))</f>
        <v>8</v>
      </c>
      <c r="N75" s="88">
        <f t="shared" si="8"/>
        <v>12090</v>
      </c>
      <c r="O75" s="89">
        <f t="shared" si="9"/>
        <v>15</v>
      </c>
      <c r="P75" s="94">
        <v>67</v>
      </c>
      <c r="Q75" s="90" t="str">
        <f t="shared" si="10"/>
        <v>b2</v>
      </c>
      <c r="R75" s="90" t="str">
        <f t="shared" si="11"/>
        <v>c10</v>
      </c>
      <c r="S75" s="90"/>
    </row>
    <row r="76" spans="1:19" ht="18" customHeight="1">
      <c r="A76" s="84">
        <v>68</v>
      </c>
      <c r="B76" s="96" t="s">
        <v>364</v>
      </c>
      <c r="C76" s="85" t="s">
        <v>53</v>
      </c>
      <c r="D76" s="86" t="s">
        <v>343</v>
      </c>
      <c r="E76" s="87">
        <v>3556</v>
      </c>
      <c r="F76" s="84" t="s">
        <v>354</v>
      </c>
      <c r="G76" s="84">
        <v>1</v>
      </c>
      <c r="H76" s="88">
        <f>IF($G76="","",INDEX('1. závod'!$A:$CM,$G76+3,INDEX('Základní list'!$B:$B,MATCH($F76,'Základní list'!$A:$A,0),1)))</f>
        <v>9970</v>
      </c>
      <c r="I76" s="89">
        <f>IF($G76="","",INDEX('1. závod'!$A:$CL,$G76+3,INDEX('Základní list'!$B:$B,MATCH($F76,'Základní list'!$A:$A,0),1)+2))</f>
        <v>10</v>
      </c>
      <c r="J76" s="84" t="s">
        <v>354</v>
      </c>
      <c r="K76" s="84">
        <v>2</v>
      </c>
      <c r="L76" s="88">
        <f>IF($K76="","",INDEX('2. závod'!$A:$CM,$K76+3,INDEX('Základní list'!$B:$B,MATCH($J76,'Základní list'!$A:$A,0),1)))</f>
        <v>12870</v>
      </c>
      <c r="M76" s="89">
        <f>IF($K76="","",INDEX('2. závod'!$A:$CM,$K76+3,INDEX('Základní list'!$B:$B,MATCH($J76,'Základní list'!$A:$A,0),1)+2))</f>
        <v>6</v>
      </c>
      <c r="N76" s="88">
        <f t="shared" si="8"/>
        <v>22840</v>
      </c>
      <c r="O76" s="89">
        <f t="shared" si="9"/>
        <v>16</v>
      </c>
      <c r="P76" s="94">
        <v>68</v>
      </c>
      <c r="Q76" s="90" t="str">
        <f t="shared" si="10"/>
        <v>i1</v>
      </c>
      <c r="R76" s="90" t="str">
        <f t="shared" si="11"/>
        <v>i2</v>
      </c>
      <c r="S76" s="90"/>
    </row>
    <row r="77" spans="1:19" ht="18" customHeight="1">
      <c r="A77" s="84">
        <v>69</v>
      </c>
      <c r="B77" s="171" t="s">
        <v>181</v>
      </c>
      <c r="C77" s="85" t="s">
        <v>230</v>
      </c>
      <c r="D77" s="86" t="s">
        <v>184</v>
      </c>
      <c r="E77" s="87">
        <v>5139</v>
      </c>
      <c r="F77" s="84" t="s">
        <v>352</v>
      </c>
      <c r="G77" s="84">
        <v>16</v>
      </c>
      <c r="H77" s="88">
        <f>IF($G77="","",INDEX('1. závod'!$A:$CM,$G77+3,INDEX('Základní list'!$B:$B,MATCH($F77,'Základní list'!$A:$A,0),1)))</f>
        <v>13380</v>
      </c>
      <c r="I77" s="89">
        <f>IF($G77="","",INDEX('1. závod'!$A:$CL,$G77+3,INDEX('Základní list'!$B:$B,MATCH($F77,'Základní list'!$A:$A,0),1)+2))</f>
        <v>6</v>
      </c>
      <c r="J77" s="84" t="s">
        <v>352</v>
      </c>
      <c r="K77" s="84">
        <v>14</v>
      </c>
      <c r="L77" s="88">
        <f>IF($K77="","",INDEX('2. závod'!$A:$CM,$K77+3,INDEX('Základní list'!$B:$B,MATCH($J77,'Základní list'!$A:$A,0),1)))</f>
        <v>9270</v>
      </c>
      <c r="M77" s="89">
        <f>IF($K77="","",INDEX('2. závod'!$A:$CM,$K77+3,INDEX('Základní list'!$B:$B,MATCH($J77,'Základní list'!$A:$A,0),1)+2))</f>
        <v>11</v>
      </c>
      <c r="N77" s="88">
        <f t="shared" si="8"/>
        <v>22650</v>
      </c>
      <c r="O77" s="89">
        <f t="shared" si="9"/>
        <v>17</v>
      </c>
      <c r="P77" s="94">
        <v>69</v>
      </c>
      <c r="Q77" s="90" t="str">
        <f t="shared" si="10"/>
        <v>g16</v>
      </c>
      <c r="R77" s="90" t="str">
        <f t="shared" si="11"/>
        <v>g14</v>
      </c>
      <c r="S77" s="90"/>
    </row>
    <row r="78" spans="1:19" ht="18" customHeight="1">
      <c r="A78" s="84">
        <v>70</v>
      </c>
      <c r="B78" s="96" t="s">
        <v>332</v>
      </c>
      <c r="C78" s="85" t="s">
        <v>53</v>
      </c>
      <c r="D78" s="86" t="s">
        <v>250</v>
      </c>
      <c r="E78" s="87">
        <v>2855</v>
      </c>
      <c r="F78" s="84" t="s">
        <v>357</v>
      </c>
      <c r="G78" s="84">
        <v>2</v>
      </c>
      <c r="H78" s="88">
        <f>IF($G78="","",INDEX('1. závod'!$A:$CM,$G78+3,INDEX('Základní list'!$B:$B,MATCH($F78,'Základní list'!$A:$A,0),1)))</f>
        <v>11870</v>
      </c>
      <c r="I78" s="89">
        <f>IF($G78="","",INDEX('1. závod'!$A:$CL,$G78+3,INDEX('Základní list'!$B:$B,MATCH($F78,'Základní list'!$A:$A,0),1)+2))</f>
        <v>3</v>
      </c>
      <c r="J78" s="84" t="s">
        <v>356</v>
      </c>
      <c r="K78" s="84">
        <v>11</v>
      </c>
      <c r="L78" s="88">
        <f>IF($K78="","",INDEX('2. závod'!$A:$CM,$K78+3,INDEX('Základní list'!$B:$B,MATCH($J78,'Základní list'!$A:$A,0),1)))</f>
        <v>2140</v>
      </c>
      <c r="M78" s="89">
        <f>IF($K78="","",INDEX('2. závod'!$A:$CM,$K78+3,INDEX('Základní list'!$B:$B,MATCH($J78,'Základní list'!$A:$A,0),1)+2))</f>
        <v>14</v>
      </c>
      <c r="N78" s="88">
        <f t="shared" si="8"/>
        <v>14010</v>
      </c>
      <c r="O78" s="89">
        <f t="shared" si="9"/>
        <v>17</v>
      </c>
      <c r="P78" s="94">
        <v>70</v>
      </c>
      <c r="Q78" s="90" t="str">
        <f t="shared" si="10"/>
        <v>c2</v>
      </c>
      <c r="R78" s="90" t="str">
        <f t="shared" si="11"/>
        <v>a11</v>
      </c>
      <c r="S78" s="90"/>
    </row>
    <row r="79" spans="1:19" ht="18" customHeight="1">
      <c r="A79" s="84">
        <v>71</v>
      </c>
      <c r="B79" s="96" t="s">
        <v>227</v>
      </c>
      <c r="C79" s="85" t="s">
        <v>53</v>
      </c>
      <c r="D79" s="86" t="s">
        <v>228</v>
      </c>
      <c r="E79" s="87">
        <v>4320</v>
      </c>
      <c r="F79" s="84" t="s">
        <v>358</v>
      </c>
      <c r="G79" s="84">
        <v>8</v>
      </c>
      <c r="H79" s="88">
        <f>IF($G79="","",INDEX('1. závod'!$A:$CM,$G79+3,INDEX('Základní list'!$B:$B,MATCH($F79,'Základní list'!$A:$A,0),1)))</f>
        <v>10120</v>
      </c>
      <c r="I79" s="89">
        <f>IF($G79="","",INDEX('1. závod'!$A:$CL,$G79+3,INDEX('Základní list'!$B:$B,MATCH($F79,'Základní list'!$A:$A,0),1)+2))</f>
        <v>6</v>
      </c>
      <c r="J79" s="84" t="s">
        <v>351</v>
      </c>
      <c r="K79" s="84">
        <v>7</v>
      </c>
      <c r="L79" s="88">
        <f>IF($K79="","",INDEX('2. závod'!$A:$CM,$K79+3,INDEX('Základní list'!$B:$B,MATCH($J79,'Základní list'!$A:$A,0),1)))</f>
        <v>3440</v>
      </c>
      <c r="M79" s="89">
        <f>IF($K79="","",INDEX('2. závod'!$A:$CM,$K79+3,INDEX('Základní list'!$B:$B,MATCH($J79,'Základní list'!$A:$A,0),1)+2))</f>
        <v>11</v>
      </c>
      <c r="N79" s="88">
        <f t="shared" si="8"/>
        <v>13560</v>
      </c>
      <c r="O79" s="89">
        <f t="shared" si="9"/>
        <v>17</v>
      </c>
      <c r="P79" s="94">
        <v>71</v>
      </c>
      <c r="Q79" s="90" t="str">
        <f t="shared" si="10"/>
        <v>h8</v>
      </c>
      <c r="R79" s="90" t="str">
        <f t="shared" si="11"/>
        <v>b7</v>
      </c>
      <c r="S79" s="90"/>
    </row>
    <row r="80" spans="1:19" ht="18" customHeight="1">
      <c r="A80" s="84">
        <v>72</v>
      </c>
      <c r="B80" s="96" t="s">
        <v>333</v>
      </c>
      <c r="C80" s="85" t="s">
        <v>53</v>
      </c>
      <c r="D80" s="86" t="s">
        <v>250</v>
      </c>
      <c r="E80" s="87">
        <v>3804</v>
      </c>
      <c r="F80" s="84" t="s">
        <v>358</v>
      </c>
      <c r="G80" s="84">
        <v>13</v>
      </c>
      <c r="H80" s="88">
        <f>IF($G80="","",INDEX('1. závod'!$A:$CM,$G80+3,INDEX('Základní list'!$B:$B,MATCH($F80,'Základní list'!$A:$A,0),1)))</f>
        <v>6660</v>
      </c>
      <c r="I80" s="89">
        <f>IF($G80="","",INDEX('1. závod'!$A:$CL,$G80+3,INDEX('Základní list'!$B:$B,MATCH($F80,'Základní list'!$A:$A,0),1)+2))</f>
        <v>13</v>
      </c>
      <c r="J80" s="84" t="s">
        <v>355</v>
      </c>
      <c r="K80" s="84">
        <v>9</v>
      </c>
      <c r="L80" s="88">
        <f>IF($K80="","",INDEX('2. závod'!$A:$CM,$K80+3,INDEX('Základní list'!$B:$B,MATCH($J80,'Základní list'!$A:$A,0),1)))</f>
        <v>6820</v>
      </c>
      <c r="M80" s="89">
        <f>IF($K80="","",INDEX('2. závod'!$A:$CM,$K80+3,INDEX('Základní list'!$B:$B,MATCH($J80,'Základní list'!$A:$A,0),1)+2))</f>
        <v>4</v>
      </c>
      <c r="N80" s="88">
        <f t="shared" si="8"/>
        <v>13480</v>
      </c>
      <c r="O80" s="89">
        <f t="shared" si="9"/>
        <v>17</v>
      </c>
      <c r="P80" s="94">
        <v>72</v>
      </c>
      <c r="Q80" s="90" t="str">
        <f t="shared" si="10"/>
        <v>h13</v>
      </c>
      <c r="R80" s="90" t="str">
        <f t="shared" si="11"/>
        <v>e9</v>
      </c>
      <c r="S80" s="90"/>
    </row>
    <row r="81" spans="1:19" ht="18" customHeight="1">
      <c r="A81" s="84">
        <v>73</v>
      </c>
      <c r="B81" s="172" t="s">
        <v>113</v>
      </c>
      <c r="C81" s="85" t="s">
        <v>53</v>
      </c>
      <c r="D81" s="86" t="s">
        <v>120</v>
      </c>
      <c r="E81" s="87">
        <v>4332</v>
      </c>
      <c r="F81" s="84" t="s">
        <v>353</v>
      </c>
      <c r="G81" s="84">
        <v>11</v>
      </c>
      <c r="H81" s="88">
        <f>IF($G81="","",INDEX('1. závod'!$A:$CM,$G81+3,INDEX('Základní list'!$B:$B,MATCH($F81,'Základní list'!$A:$A,0),1)))</f>
        <v>8850</v>
      </c>
      <c r="I81" s="89">
        <f>IF($G81="","",INDEX('1. závod'!$A:$CL,$G81+3,INDEX('Základní list'!$B:$B,MATCH($F81,'Základní list'!$A:$A,0),1)+2))</f>
        <v>6</v>
      </c>
      <c r="J81" s="84" t="s">
        <v>357</v>
      </c>
      <c r="K81" s="84">
        <v>15</v>
      </c>
      <c r="L81" s="88">
        <f>IF($K81="","",INDEX('2. závod'!$A:$CM,$K81+3,INDEX('Základní list'!$B:$B,MATCH($J81,'Základní list'!$A:$A,0),1)))</f>
        <v>4100</v>
      </c>
      <c r="M81" s="89">
        <f>IF($K81="","",INDEX('2. závod'!$A:$CM,$K81+3,INDEX('Základní list'!$B:$B,MATCH($J81,'Základní list'!$A:$A,0),1)+2))</f>
        <v>11</v>
      </c>
      <c r="N81" s="88">
        <f t="shared" si="8"/>
        <v>12950</v>
      </c>
      <c r="O81" s="89">
        <f t="shared" si="9"/>
        <v>17</v>
      </c>
      <c r="P81" s="94">
        <v>73</v>
      </c>
      <c r="Q81" s="90" t="str">
        <f t="shared" si="10"/>
        <v>f11</v>
      </c>
      <c r="R81" s="90" t="str">
        <f t="shared" si="11"/>
        <v>c15</v>
      </c>
      <c r="S81" s="90"/>
    </row>
    <row r="82" spans="1:19" ht="18" customHeight="1">
      <c r="A82" s="84">
        <v>74</v>
      </c>
      <c r="B82" s="172" t="s">
        <v>101</v>
      </c>
      <c r="C82" s="85" t="s">
        <v>53</v>
      </c>
      <c r="D82" s="86" t="s">
        <v>184</v>
      </c>
      <c r="E82" s="87">
        <v>127</v>
      </c>
      <c r="F82" s="84" t="s">
        <v>352</v>
      </c>
      <c r="G82" s="84">
        <v>11</v>
      </c>
      <c r="H82" s="88">
        <f>IF($G82="","",INDEX('1. závod'!$A:$CM,$G82+3,INDEX('Základní list'!$B:$B,MATCH($F82,'Základní list'!$A:$A,0),1)))</f>
        <v>6510</v>
      </c>
      <c r="I82" s="89">
        <f>IF($G82="","",INDEX('1. závod'!$A:$CL,$G82+3,INDEX('Základní list'!$B:$B,MATCH($F82,'Základní list'!$A:$A,0),1)+2))</f>
        <v>11</v>
      </c>
      <c r="J82" s="84" t="s">
        <v>355</v>
      </c>
      <c r="K82" s="84">
        <v>5</v>
      </c>
      <c r="L82" s="88">
        <f>IF($K82="","",INDEX('2. závod'!$A:$CM,$K82+3,INDEX('Základní list'!$B:$B,MATCH($J82,'Základní list'!$A:$A,0),1)))</f>
        <v>5060</v>
      </c>
      <c r="M82" s="89">
        <f>IF($K82="","",INDEX('2. závod'!$A:$CM,$K82+3,INDEX('Základní list'!$B:$B,MATCH($J82,'Základní list'!$A:$A,0),1)+2))</f>
        <v>6</v>
      </c>
      <c r="N82" s="88">
        <f t="shared" si="8"/>
        <v>11570</v>
      </c>
      <c r="O82" s="89">
        <f t="shared" si="9"/>
        <v>17</v>
      </c>
      <c r="P82" s="94">
        <v>74</v>
      </c>
      <c r="Q82" s="90" t="str">
        <f t="shared" si="10"/>
        <v>g11</v>
      </c>
      <c r="R82" s="90" t="str">
        <f t="shared" si="11"/>
        <v>e5</v>
      </c>
      <c r="S82" s="90"/>
    </row>
    <row r="83" spans="1:19" ht="18" customHeight="1">
      <c r="A83" s="84">
        <v>75</v>
      </c>
      <c r="B83" s="171" t="s">
        <v>147</v>
      </c>
      <c r="C83" s="85" t="s">
        <v>57</v>
      </c>
      <c r="D83" s="86" t="s">
        <v>146</v>
      </c>
      <c r="E83" s="87">
        <v>4738</v>
      </c>
      <c r="F83" s="84" t="s">
        <v>357</v>
      </c>
      <c r="G83" s="84">
        <v>8</v>
      </c>
      <c r="H83" s="88">
        <f>IF($G83="","",INDEX('1. závod'!$A:$CM,$G83+3,INDEX('Základní list'!$B:$B,MATCH($F83,'Základní list'!$A:$A,0),1)))</f>
        <v>5960</v>
      </c>
      <c r="I83" s="89">
        <f>IF($G83="","",INDEX('1. závod'!$A:$CL,$G83+3,INDEX('Základní list'!$B:$B,MATCH($F83,'Základní list'!$A:$A,0),1)+2))</f>
        <v>11</v>
      </c>
      <c r="J83" s="84" t="s">
        <v>359</v>
      </c>
      <c r="K83" s="84">
        <v>3</v>
      </c>
      <c r="L83" s="88">
        <f>IF($K83="","",INDEX('2. závod'!$A:$CM,$K83+3,INDEX('Základní list'!$B:$B,MATCH($J83,'Základní list'!$A:$A,0),1)))</f>
        <v>4800</v>
      </c>
      <c r="M83" s="89">
        <f>IF($K83="","",INDEX('2. závod'!$A:$CM,$K83+3,INDEX('Základní list'!$B:$B,MATCH($J83,'Základní list'!$A:$A,0),1)+2))</f>
        <v>6</v>
      </c>
      <c r="N83" s="88">
        <f t="shared" si="8"/>
        <v>10760</v>
      </c>
      <c r="O83" s="89">
        <f t="shared" si="9"/>
        <v>17</v>
      </c>
      <c r="P83" s="94">
        <v>75</v>
      </c>
      <c r="Q83" s="90" t="str">
        <f t="shared" si="10"/>
        <v>c8</v>
      </c>
      <c r="R83" s="90" t="str">
        <f t="shared" si="11"/>
        <v>d3</v>
      </c>
      <c r="S83" s="90"/>
    </row>
    <row r="84" spans="1:19" ht="18" customHeight="1">
      <c r="A84" s="84">
        <v>76</v>
      </c>
      <c r="B84" s="172" t="s">
        <v>191</v>
      </c>
      <c r="C84" s="85" t="s">
        <v>53</v>
      </c>
      <c r="D84" s="86" t="s">
        <v>192</v>
      </c>
      <c r="E84" s="87">
        <v>2259</v>
      </c>
      <c r="F84" s="84" t="s">
        <v>358</v>
      </c>
      <c r="G84" s="84">
        <v>5</v>
      </c>
      <c r="H84" s="88">
        <f>IF($G84="","",INDEX('1. závod'!$A:$CM,$G84+3,INDEX('Základní list'!$B:$B,MATCH($F84,'Základní list'!$A:$A,0),1)))</f>
        <v>7280</v>
      </c>
      <c r="I84" s="89">
        <f>IF($G84="","",INDEX('1. závod'!$A:$CL,$G84+3,INDEX('Základní list'!$B:$B,MATCH($F84,'Základní list'!$A:$A,0),1)+2))</f>
        <v>10.5</v>
      </c>
      <c r="J84" s="84" t="s">
        <v>356</v>
      </c>
      <c r="K84" s="84">
        <v>14</v>
      </c>
      <c r="L84" s="88">
        <f>IF($K84="","",INDEX('2. závod'!$A:$CM,$K84+3,INDEX('Základní list'!$B:$B,MATCH($J84,'Základní list'!$A:$A,0),1)))</f>
        <v>10460</v>
      </c>
      <c r="M84" s="89">
        <f>IF($K84="","",INDEX('2. závod'!$A:$CM,$K84+3,INDEX('Základní list'!$B:$B,MATCH($J84,'Základní list'!$A:$A,0),1)+2))</f>
        <v>7</v>
      </c>
      <c r="N84" s="88">
        <f t="shared" si="8"/>
        <v>17740</v>
      </c>
      <c r="O84" s="89">
        <f t="shared" si="9"/>
        <v>17.5</v>
      </c>
      <c r="P84" s="94">
        <v>76</v>
      </c>
      <c r="Q84" s="90" t="str">
        <f t="shared" si="10"/>
        <v>h5</v>
      </c>
      <c r="R84" s="90" t="str">
        <f t="shared" si="11"/>
        <v>a14</v>
      </c>
      <c r="S84" s="90"/>
    </row>
    <row r="85" spans="1:19" ht="18" customHeight="1">
      <c r="A85" s="84">
        <v>77</v>
      </c>
      <c r="B85" s="96" t="s">
        <v>311</v>
      </c>
      <c r="C85" s="85" t="s">
        <v>53</v>
      </c>
      <c r="D85" s="86" t="s">
        <v>348</v>
      </c>
      <c r="E85" s="87">
        <v>5532</v>
      </c>
      <c r="F85" s="84" t="s">
        <v>352</v>
      </c>
      <c r="G85" s="84">
        <v>15</v>
      </c>
      <c r="H85" s="88">
        <f>IF($G85="","",INDEX('1. závod'!$A:$CM,$G85+3,INDEX('Základní list'!$B:$B,MATCH($F85,'Základní list'!$A:$A,0),1)))</f>
        <v>21350</v>
      </c>
      <c r="I85" s="89">
        <f>IF($G85="","",INDEX('1. závod'!$A:$CL,$G85+3,INDEX('Základní list'!$B:$B,MATCH($F85,'Základní list'!$A:$A,0),1)+2))</f>
        <v>3</v>
      </c>
      <c r="J85" s="84" t="s">
        <v>355</v>
      </c>
      <c r="K85" s="84">
        <v>3</v>
      </c>
      <c r="L85" s="88">
        <f>IF($K85="","",INDEX('2. závod'!$A:$CM,$K85+3,INDEX('Základní list'!$B:$B,MATCH($J85,'Základní list'!$A:$A,0),1)))</f>
        <v>1040</v>
      </c>
      <c r="M85" s="89">
        <f>IF($K85="","",INDEX('2. závod'!$A:$CM,$K85+3,INDEX('Základní list'!$B:$B,MATCH($J85,'Základní list'!$A:$A,0),1)+2))</f>
        <v>15</v>
      </c>
      <c r="N85" s="88">
        <f t="shared" si="8"/>
        <v>22390</v>
      </c>
      <c r="O85" s="89">
        <f t="shared" si="9"/>
        <v>18</v>
      </c>
      <c r="P85" s="94">
        <v>77</v>
      </c>
      <c r="Q85" s="90" t="str">
        <f t="shared" si="10"/>
        <v>g15</v>
      </c>
      <c r="R85" s="90" t="str">
        <f t="shared" si="11"/>
        <v>e3</v>
      </c>
      <c r="S85" s="90"/>
    </row>
    <row r="86" spans="1:19" ht="18" customHeight="1">
      <c r="A86" s="84">
        <v>78</v>
      </c>
      <c r="B86" s="172" t="s">
        <v>205</v>
      </c>
      <c r="C86" s="85" t="s">
        <v>53</v>
      </c>
      <c r="D86" s="86" t="s">
        <v>318</v>
      </c>
      <c r="E86" s="87">
        <v>2263</v>
      </c>
      <c r="F86" s="84" t="s">
        <v>359</v>
      </c>
      <c r="G86" s="84">
        <v>3</v>
      </c>
      <c r="H86" s="88">
        <f>IF($G86="","",INDEX('1. závod'!$A:$CM,$G86+3,INDEX('Základní list'!$B:$B,MATCH($F86,'Základní list'!$A:$A,0),1)))</f>
        <v>7055</v>
      </c>
      <c r="I86" s="89">
        <f>IF($G86="","",INDEX('1. závod'!$A:$CL,$G86+3,INDEX('Základní list'!$B:$B,MATCH($F86,'Základní list'!$A:$A,0),1)+2))</f>
        <v>10</v>
      </c>
      <c r="J86" s="84" t="s">
        <v>354</v>
      </c>
      <c r="K86" s="84">
        <v>13</v>
      </c>
      <c r="L86" s="88">
        <f>IF($K86="","",INDEX('2. závod'!$A:$CM,$K86+3,INDEX('Základní list'!$B:$B,MATCH($J86,'Základní list'!$A:$A,0),1)))</f>
        <v>12390</v>
      </c>
      <c r="M86" s="89">
        <f>IF($K86="","",INDEX('2. závod'!$A:$CM,$K86+3,INDEX('Základní list'!$B:$B,MATCH($J86,'Základní list'!$A:$A,0),1)+2))</f>
        <v>8</v>
      </c>
      <c r="N86" s="88">
        <f t="shared" si="8"/>
        <v>19445</v>
      </c>
      <c r="O86" s="89">
        <f t="shared" si="9"/>
        <v>18</v>
      </c>
      <c r="P86" s="94">
        <v>78</v>
      </c>
      <c r="Q86" s="90" t="str">
        <f t="shared" si="10"/>
        <v>d3</v>
      </c>
      <c r="R86" s="90" t="str">
        <f t="shared" si="11"/>
        <v>i13</v>
      </c>
      <c r="S86" s="90"/>
    </row>
    <row r="87" spans="1:19" ht="18" customHeight="1">
      <c r="A87" s="84">
        <v>79</v>
      </c>
      <c r="B87" s="172" t="s">
        <v>128</v>
      </c>
      <c r="C87" s="85" t="s">
        <v>53</v>
      </c>
      <c r="D87" s="86" t="s">
        <v>129</v>
      </c>
      <c r="E87" s="87">
        <v>6774</v>
      </c>
      <c r="F87" s="84" t="s">
        <v>359</v>
      </c>
      <c r="G87" s="84">
        <v>10</v>
      </c>
      <c r="H87" s="88">
        <f>IF($G87="","",INDEX('1. závod'!$A:$CM,$G87+3,INDEX('Základní list'!$B:$B,MATCH($F87,'Základní list'!$A:$A,0),1)))</f>
        <v>4870</v>
      </c>
      <c r="I87" s="89">
        <f>IF($G87="","",INDEX('1. závod'!$A:$CL,$G87+3,INDEX('Základní list'!$B:$B,MATCH($F87,'Základní list'!$A:$A,0),1)+2))</f>
        <v>13</v>
      </c>
      <c r="J87" s="84" t="s">
        <v>356</v>
      </c>
      <c r="K87" s="84">
        <v>1</v>
      </c>
      <c r="L87" s="88">
        <f>IF($K87="","",INDEX('2. závod'!$A:$CM,$K87+3,INDEX('Základní list'!$B:$B,MATCH($J87,'Základní list'!$A:$A,0),1)))</f>
        <v>11760</v>
      </c>
      <c r="M87" s="89">
        <f>IF($K87="","",INDEX('2. závod'!$A:$CM,$K87+3,INDEX('Základní list'!$B:$B,MATCH($J87,'Základní list'!$A:$A,0),1)+2))</f>
        <v>5</v>
      </c>
      <c r="N87" s="88">
        <f t="shared" si="8"/>
        <v>16630</v>
      </c>
      <c r="O87" s="89">
        <f t="shared" si="9"/>
        <v>18</v>
      </c>
      <c r="P87" s="94">
        <v>79</v>
      </c>
      <c r="Q87" s="90" t="str">
        <f t="shared" si="10"/>
        <v>d10</v>
      </c>
      <c r="R87" s="90" t="str">
        <f t="shared" si="11"/>
        <v>a1</v>
      </c>
      <c r="S87" s="90"/>
    </row>
    <row r="88" spans="1:19" ht="18" customHeight="1">
      <c r="A88" s="84">
        <v>80</v>
      </c>
      <c r="B88" s="171" t="s">
        <v>182</v>
      </c>
      <c r="C88" s="85" t="s">
        <v>53</v>
      </c>
      <c r="D88" s="86" t="s">
        <v>184</v>
      </c>
      <c r="E88" s="87">
        <v>4324</v>
      </c>
      <c r="F88" s="84" t="s">
        <v>359</v>
      </c>
      <c r="G88" s="84">
        <v>13</v>
      </c>
      <c r="H88" s="88">
        <f>IF($G88="","",INDEX('1. závod'!$A:$CM,$G88+3,INDEX('Základní list'!$B:$B,MATCH($F88,'Základní list'!$A:$A,0),1)))</f>
        <v>7540</v>
      </c>
      <c r="I88" s="89">
        <f>IF($G88="","",INDEX('1. závod'!$A:$CL,$G88+3,INDEX('Základní list'!$B:$B,MATCH($F88,'Základní list'!$A:$A,0),1)+2))</f>
        <v>9</v>
      </c>
      <c r="J88" s="84" t="s">
        <v>357</v>
      </c>
      <c r="K88" s="84">
        <v>13</v>
      </c>
      <c r="L88" s="88">
        <f>IF($K88="","",INDEX('2. závod'!$A:$CM,$K88+3,INDEX('Základní list'!$B:$B,MATCH($J88,'Základní list'!$A:$A,0),1)))</f>
        <v>5810</v>
      </c>
      <c r="M88" s="89">
        <f>IF($K88="","",INDEX('2. závod'!$A:$CM,$K88+3,INDEX('Základní list'!$B:$B,MATCH($J88,'Základní list'!$A:$A,0),1)+2))</f>
        <v>9</v>
      </c>
      <c r="N88" s="88">
        <f t="shared" si="8"/>
        <v>13350</v>
      </c>
      <c r="O88" s="89">
        <f t="shared" si="9"/>
        <v>18</v>
      </c>
      <c r="P88" s="94">
        <v>80</v>
      </c>
      <c r="Q88" s="90" t="str">
        <f t="shared" si="10"/>
        <v>d13</v>
      </c>
      <c r="R88" s="90" t="str">
        <f t="shared" si="11"/>
        <v>c13</v>
      </c>
      <c r="S88" s="90"/>
    </row>
    <row r="89" spans="1:19" ht="18" customHeight="1">
      <c r="A89" s="84">
        <v>81</v>
      </c>
      <c r="B89" s="172" t="s">
        <v>220</v>
      </c>
      <c r="C89" s="85" t="s">
        <v>53</v>
      </c>
      <c r="D89" s="86" t="s">
        <v>143</v>
      </c>
      <c r="E89" s="87">
        <v>3801</v>
      </c>
      <c r="F89" s="84" t="s">
        <v>355</v>
      </c>
      <c r="G89" s="84">
        <v>5</v>
      </c>
      <c r="H89" s="88">
        <f>IF($G89="","",INDEX('1. závod'!$A:$CM,$G89+3,INDEX('Základní list'!$B:$B,MATCH($F89,'Základní list'!$A:$A,0),1)))</f>
        <v>8480</v>
      </c>
      <c r="I89" s="89">
        <f>IF($G89="","",INDEX('1. závod'!$A:$CL,$G89+3,INDEX('Základní list'!$B:$B,MATCH($F89,'Základní list'!$A:$A,0),1)+2))</f>
        <v>10</v>
      </c>
      <c r="J89" s="84" t="s">
        <v>351</v>
      </c>
      <c r="K89" s="84">
        <v>14</v>
      </c>
      <c r="L89" s="88">
        <f>IF($K89="","",INDEX('2. závod'!$A:$CM,$K89+3,INDEX('Základní list'!$B:$B,MATCH($J89,'Základní list'!$A:$A,0),1)))</f>
        <v>4300</v>
      </c>
      <c r="M89" s="89">
        <f>IF($K89="","",INDEX('2. závod'!$A:$CM,$K89+3,INDEX('Základní list'!$B:$B,MATCH($J89,'Základní list'!$A:$A,0),1)+2))</f>
        <v>8</v>
      </c>
      <c r="N89" s="88">
        <f t="shared" si="8"/>
        <v>12780</v>
      </c>
      <c r="O89" s="89">
        <f t="shared" si="9"/>
        <v>18</v>
      </c>
      <c r="P89" s="94">
        <v>81</v>
      </c>
      <c r="Q89" s="90" t="str">
        <f t="shared" si="10"/>
        <v>e5</v>
      </c>
      <c r="R89" s="90" t="str">
        <f t="shared" si="11"/>
        <v>b14</v>
      </c>
      <c r="S89" s="90"/>
    </row>
    <row r="90" spans="1:19" ht="18" customHeight="1">
      <c r="A90" s="84">
        <v>82</v>
      </c>
      <c r="B90" s="96" t="s">
        <v>241</v>
      </c>
      <c r="C90" s="85" t="s">
        <v>53</v>
      </c>
      <c r="D90" s="86" t="s">
        <v>152</v>
      </c>
      <c r="E90" s="87">
        <v>3795</v>
      </c>
      <c r="F90" s="84" t="s">
        <v>351</v>
      </c>
      <c r="G90" s="84">
        <v>15</v>
      </c>
      <c r="H90" s="88">
        <f>IF($G90="","",INDEX('1. závod'!$A:$CM,$G90+3,INDEX('Základní list'!$B:$B,MATCH($F90,'Základní list'!$A:$A,0),1)))</f>
        <v>3950</v>
      </c>
      <c r="I90" s="89">
        <f>IF($G90="","",INDEX('1. závod'!$A:$CL,$G90+3,INDEX('Základní list'!$B:$B,MATCH($F90,'Základní list'!$A:$A,0),1)+2))</f>
        <v>13</v>
      </c>
      <c r="J90" s="84" t="s">
        <v>355</v>
      </c>
      <c r="K90" s="84">
        <v>16</v>
      </c>
      <c r="L90" s="88">
        <f>IF($K90="","",INDEX('2. závod'!$A:$CM,$K90+3,INDEX('Základní list'!$B:$B,MATCH($J90,'Základní list'!$A:$A,0),1)))</f>
        <v>6020</v>
      </c>
      <c r="M90" s="89">
        <f>IF($K90="","",INDEX('2. závod'!$A:$CM,$K90+3,INDEX('Základní list'!$B:$B,MATCH($J90,'Základní list'!$A:$A,0),1)+2))</f>
        <v>5</v>
      </c>
      <c r="N90" s="88">
        <f t="shared" si="8"/>
        <v>9970</v>
      </c>
      <c r="O90" s="89">
        <f t="shared" si="9"/>
        <v>18</v>
      </c>
      <c r="P90" s="94">
        <v>82</v>
      </c>
      <c r="Q90" s="90" t="str">
        <f t="shared" si="10"/>
        <v>b15</v>
      </c>
      <c r="R90" s="90" t="str">
        <f t="shared" si="11"/>
        <v>e16</v>
      </c>
      <c r="S90" s="90"/>
    </row>
    <row r="91" spans="1:19" ht="18" customHeight="1">
      <c r="A91" s="84">
        <v>83</v>
      </c>
      <c r="B91" s="172" t="s">
        <v>172</v>
      </c>
      <c r="C91" s="85" t="s">
        <v>53</v>
      </c>
      <c r="D91" s="86" t="s">
        <v>175</v>
      </c>
      <c r="E91" s="87">
        <v>94</v>
      </c>
      <c r="F91" s="84" t="s">
        <v>357</v>
      </c>
      <c r="G91" s="84">
        <v>11</v>
      </c>
      <c r="H91" s="88">
        <f>IF($G91="","",INDEX('1. závod'!$A:$CM,$G91+3,INDEX('Základní list'!$B:$B,MATCH($F91,'Základní list'!$A:$A,0),1)))</f>
        <v>7355</v>
      </c>
      <c r="I91" s="89">
        <f>IF($G91="","",INDEX('1. závod'!$A:$CL,$G91+3,INDEX('Základní list'!$B:$B,MATCH($F91,'Základní list'!$A:$A,0),1)+2))</f>
        <v>9</v>
      </c>
      <c r="J91" s="84" t="s">
        <v>354</v>
      </c>
      <c r="K91" s="84">
        <v>5</v>
      </c>
      <c r="L91" s="88">
        <f>IF($K91="","",INDEX('2. závod'!$A:$CM,$K91+3,INDEX('Základní list'!$B:$B,MATCH($J91,'Základní list'!$A:$A,0),1)))</f>
        <v>12260</v>
      </c>
      <c r="M91" s="89">
        <f>IF($K91="","",INDEX('2. závod'!$A:$CM,$K91+3,INDEX('Základní list'!$B:$B,MATCH($J91,'Základní list'!$A:$A,0),1)+2))</f>
        <v>10</v>
      </c>
      <c r="N91" s="88">
        <f t="shared" si="8"/>
        <v>19615</v>
      </c>
      <c r="O91" s="89">
        <f t="shared" si="9"/>
        <v>19</v>
      </c>
      <c r="P91" s="94">
        <v>83</v>
      </c>
      <c r="Q91" s="90" t="str">
        <f t="shared" si="10"/>
        <v>c11</v>
      </c>
      <c r="R91" s="90" t="str">
        <f t="shared" si="11"/>
        <v>i5</v>
      </c>
      <c r="S91" s="90"/>
    </row>
    <row r="92" spans="1:19" ht="18" customHeight="1">
      <c r="A92" s="84">
        <v>84</v>
      </c>
      <c r="B92" s="96" t="s">
        <v>326</v>
      </c>
      <c r="C92" s="85" t="s">
        <v>53</v>
      </c>
      <c r="D92" s="86" t="s">
        <v>327</v>
      </c>
      <c r="E92" s="87">
        <v>4878</v>
      </c>
      <c r="F92" s="84" t="s">
        <v>352</v>
      </c>
      <c r="G92" s="84">
        <v>1</v>
      </c>
      <c r="H92" s="88">
        <f>IF($G92="","",INDEX('1. závod'!$A:$CM,$G92+3,INDEX('Základní list'!$B:$B,MATCH($F92,'Základní list'!$A:$A,0),1)))</f>
        <v>7680</v>
      </c>
      <c r="I92" s="89">
        <f>IF($G92="","",INDEX('1. závod'!$A:$CL,$G92+3,INDEX('Základní list'!$B:$B,MATCH($F92,'Základní list'!$A:$A,0),1)+2))</f>
        <v>10</v>
      </c>
      <c r="J92" s="84" t="s">
        <v>356</v>
      </c>
      <c r="K92" s="84">
        <v>12</v>
      </c>
      <c r="L92" s="88">
        <f>IF($K92="","",INDEX('2. závod'!$A:$CM,$K92+3,INDEX('Základní list'!$B:$B,MATCH($J92,'Základní list'!$A:$A,0),1)))</f>
        <v>9250</v>
      </c>
      <c r="M92" s="89">
        <f>IF($K92="","",INDEX('2. závod'!$A:$CM,$K92+3,INDEX('Základní list'!$B:$B,MATCH($J92,'Základní list'!$A:$A,0),1)+2))</f>
        <v>9</v>
      </c>
      <c r="N92" s="88">
        <f t="shared" si="8"/>
        <v>16930</v>
      </c>
      <c r="O92" s="89">
        <f t="shared" si="9"/>
        <v>19</v>
      </c>
      <c r="P92" s="94">
        <v>84</v>
      </c>
      <c r="Q92" s="90" t="str">
        <f t="shared" si="10"/>
        <v>g1</v>
      </c>
      <c r="R92" s="90" t="str">
        <f t="shared" si="11"/>
        <v>a12</v>
      </c>
      <c r="S92" s="90"/>
    </row>
    <row r="93" spans="1:19" ht="18" customHeight="1">
      <c r="A93" s="84">
        <v>85</v>
      </c>
      <c r="B93" s="96" t="s">
        <v>305</v>
      </c>
      <c r="C93" s="85" t="s">
        <v>53</v>
      </c>
      <c r="D93" s="86" t="s">
        <v>257</v>
      </c>
      <c r="E93" s="87">
        <v>6916</v>
      </c>
      <c r="F93" s="84" t="s">
        <v>358</v>
      </c>
      <c r="G93" s="84">
        <v>1</v>
      </c>
      <c r="H93" s="88">
        <f>IF($G93="","",INDEX('1. závod'!$A:$CM,$G93+3,INDEX('Základní list'!$B:$B,MATCH($F93,'Základní list'!$A:$A,0),1)))</f>
        <v>9600</v>
      </c>
      <c r="I93" s="89">
        <f>IF($G93="","",INDEX('1. závod'!$A:$CL,$G93+3,INDEX('Základní list'!$B:$B,MATCH($F93,'Základní list'!$A:$A,0),1)+2))</f>
        <v>9</v>
      </c>
      <c r="J93" s="84" t="s">
        <v>353</v>
      </c>
      <c r="K93" s="84">
        <v>5</v>
      </c>
      <c r="L93" s="88">
        <f>IF($K93="","",INDEX('2. závod'!$A:$CM,$K93+3,INDEX('Základní list'!$B:$B,MATCH($J93,'Základní list'!$A:$A,0),1)))</f>
        <v>6530</v>
      </c>
      <c r="M93" s="89">
        <f>IF($K93="","",INDEX('2. závod'!$A:$CM,$K93+3,INDEX('Základní list'!$B:$B,MATCH($J93,'Základní list'!$A:$A,0),1)+2))</f>
        <v>10</v>
      </c>
      <c r="N93" s="88">
        <f t="shared" si="8"/>
        <v>16130</v>
      </c>
      <c r="O93" s="89">
        <f t="shared" si="9"/>
        <v>19</v>
      </c>
      <c r="P93" s="94">
        <v>85</v>
      </c>
      <c r="Q93" s="90" t="str">
        <f t="shared" si="10"/>
        <v>h1</v>
      </c>
      <c r="R93" s="90" t="str">
        <f t="shared" si="11"/>
        <v>f5</v>
      </c>
      <c r="S93" s="90"/>
    </row>
    <row r="94" spans="1:19" ht="18" customHeight="1">
      <c r="A94" s="84">
        <v>86</v>
      </c>
      <c r="B94" s="172" t="s">
        <v>216</v>
      </c>
      <c r="C94" s="85" t="s">
        <v>53</v>
      </c>
      <c r="D94" s="86" t="s">
        <v>217</v>
      </c>
      <c r="E94" s="87">
        <v>5870</v>
      </c>
      <c r="F94" s="84" t="s">
        <v>356</v>
      </c>
      <c r="G94" s="84">
        <v>11</v>
      </c>
      <c r="H94" s="88">
        <f>IF($G94="","",INDEX('1. závod'!$A:$CM,$G94+3,INDEX('Základní list'!$B:$B,MATCH($F94,'Základní list'!$A:$A,0),1)))</f>
        <v>2510</v>
      </c>
      <c r="I94" s="89">
        <f>IF($G94="","",INDEX('1. závod'!$A:$CL,$G94+3,INDEX('Základní list'!$B:$B,MATCH($F94,'Základní list'!$A:$A,0),1)+2))</f>
        <v>12</v>
      </c>
      <c r="J94" s="84" t="s">
        <v>353</v>
      </c>
      <c r="K94" s="84">
        <v>2</v>
      </c>
      <c r="L94" s="88">
        <f>IF($K94="","",INDEX('2. závod'!$A:$CM,$K94+3,INDEX('Základní list'!$B:$B,MATCH($J94,'Základní list'!$A:$A,0),1)))</f>
        <v>9120</v>
      </c>
      <c r="M94" s="89">
        <f>IF($K94="","",INDEX('2. závod'!$A:$CM,$K94+3,INDEX('Základní list'!$B:$B,MATCH($J94,'Základní list'!$A:$A,0),1)+2))</f>
        <v>7</v>
      </c>
      <c r="N94" s="88">
        <f t="shared" si="8"/>
        <v>11630</v>
      </c>
      <c r="O94" s="89">
        <f t="shared" si="9"/>
        <v>19</v>
      </c>
      <c r="P94" s="94">
        <v>86</v>
      </c>
      <c r="Q94" s="90" t="str">
        <f t="shared" si="10"/>
        <v>a11</v>
      </c>
      <c r="R94" s="90" t="str">
        <f t="shared" si="11"/>
        <v>f2</v>
      </c>
      <c r="S94" s="90"/>
    </row>
    <row r="95" spans="1:19" ht="18" customHeight="1">
      <c r="A95" s="84">
        <v>87</v>
      </c>
      <c r="B95" s="172" t="s">
        <v>105</v>
      </c>
      <c r="C95" s="85" t="s">
        <v>53</v>
      </c>
      <c r="D95" s="86" t="s">
        <v>117</v>
      </c>
      <c r="E95" s="87">
        <v>814</v>
      </c>
      <c r="F95" s="84" t="s">
        <v>355</v>
      </c>
      <c r="G95" s="84">
        <v>4</v>
      </c>
      <c r="H95" s="88">
        <f>IF($G95="","",INDEX('1. závod'!$A:$CM,$G95+3,INDEX('Základní list'!$B:$B,MATCH($F95,'Základní list'!$A:$A,0),1)))</f>
        <v>7210</v>
      </c>
      <c r="I95" s="89">
        <f>IF($G95="","",INDEX('1. závod'!$A:$CL,$G95+3,INDEX('Základní list'!$B:$B,MATCH($F95,'Základní list'!$A:$A,0),1)+2))</f>
        <v>12</v>
      </c>
      <c r="J95" s="84" t="s">
        <v>353</v>
      </c>
      <c r="K95" s="84">
        <v>10</v>
      </c>
      <c r="L95" s="88">
        <f>IF($K95="","",INDEX('2. závod'!$A:$CM,$K95+3,INDEX('Základní list'!$B:$B,MATCH($J95,'Základní list'!$A:$A,0),1)))</f>
        <v>8350</v>
      </c>
      <c r="M95" s="89">
        <f>IF($K95="","",INDEX('2. závod'!$A:$CM,$K95+3,INDEX('Základní list'!$B:$B,MATCH($J95,'Základní list'!$A:$A,0),1)+2))</f>
        <v>8</v>
      </c>
      <c r="N95" s="88">
        <f t="shared" si="8"/>
        <v>15560</v>
      </c>
      <c r="O95" s="89">
        <f t="shared" si="9"/>
        <v>20</v>
      </c>
      <c r="P95" s="94">
        <v>87</v>
      </c>
      <c r="Q95" s="90" t="str">
        <f t="shared" si="10"/>
        <v>e4</v>
      </c>
      <c r="R95" s="90" t="str">
        <f t="shared" si="11"/>
        <v>f10</v>
      </c>
      <c r="S95" s="90"/>
    </row>
    <row r="96" spans="1:19" ht="18" customHeight="1">
      <c r="A96" s="84">
        <v>88</v>
      </c>
      <c r="B96" s="96" t="s">
        <v>335</v>
      </c>
      <c r="C96" s="85" t="s">
        <v>53</v>
      </c>
      <c r="D96" s="86" t="s">
        <v>152</v>
      </c>
      <c r="E96" s="87">
        <v>2637</v>
      </c>
      <c r="F96" s="84" t="s">
        <v>356</v>
      </c>
      <c r="G96" s="84">
        <v>8</v>
      </c>
      <c r="H96" s="88">
        <f>IF($G96="","",INDEX('1. závod'!$A:$CM,$G96+3,INDEX('Základní list'!$B:$B,MATCH($F96,'Základní list'!$A:$A,0),1)))</f>
        <v>5840</v>
      </c>
      <c r="I96" s="89">
        <f>IF($G96="","",INDEX('1. závod'!$A:$CL,$G96+3,INDEX('Základní list'!$B:$B,MATCH($F96,'Základní list'!$A:$A,0),1)+2))</f>
        <v>8</v>
      </c>
      <c r="J96" s="84" t="s">
        <v>353</v>
      </c>
      <c r="K96" s="84">
        <v>9</v>
      </c>
      <c r="L96" s="88">
        <f>IF($K96="","",INDEX('2. závod'!$A:$CM,$K96+3,INDEX('Základní list'!$B:$B,MATCH($J96,'Základní list'!$A:$A,0),1)))</f>
        <v>5050</v>
      </c>
      <c r="M96" s="89">
        <f>IF($K96="","",INDEX('2. závod'!$A:$CM,$K96+3,INDEX('Základní list'!$B:$B,MATCH($J96,'Základní list'!$A:$A,0),1)+2))</f>
        <v>12</v>
      </c>
      <c r="N96" s="88">
        <f t="shared" si="8"/>
        <v>10890</v>
      </c>
      <c r="O96" s="89">
        <f t="shared" si="9"/>
        <v>20</v>
      </c>
      <c r="P96" s="94">
        <v>88</v>
      </c>
      <c r="Q96" s="90" t="str">
        <f t="shared" si="10"/>
        <v>a8</v>
      </c>
      <c r="R96" s="90" t="str">
        <f t="shared" si="11"/>
        <v>f9</v>
      </c>
      <c r="S96" s="90"/>
    </row>
    <row r="97" spans="1:19" ht="18" customHeight="1">
      <c r="A97" s="84">
        <v>89</v>
      </c>
      <c r="B97" s="96" t="s">
        <v>238</v>
      </c>
      <c r="C97" s="85" t="s">
        <v>53</v>
      </c>
      <c r="D97" s="86" t="s">
        <v>190</v>
      </c>
      <c r="E97" s="87">
        <v>790</v>
      </c>
      <c r="F97" s="84" t="s">
        <v>359</v>
      </c>
      <c r="G97" s="84">
        <v>16</v>
      </c>
      <c r="H97" s="88">
        <f>IF($G97="","",INDEX('1. závod'!$A:$CM,$G97+3,INDEX('Základní list'!$B:$B,MATCH($F97,'Základní list'!$A:$A,0),1)))</f>
        <v>6690</v>
      </c>
      <c r="I97" s="89">
        <f>IF($G97="","",INDEX('1. závod'!$A:$CL,$G97+3,INDEX('Základní list'!$B:$B,MATCH($F97,'Základní list'!$A:$A,0),1)+2))</f>
        <v>11</v>
      </c>
      <c r="J97" s="84" t="s">
        <v>351</v>
      </c>
      <c r="K97" s="84">
        <v>5</v>
      </c>
      <c r="L97" s="88">
        <f>IF($K97="","",INDEX('2. závod'!$A:$CM,$K97+3,INDEX('Základní list'!$B:$B,MATCH($J97,'Základní list'!$A:$A,0),1)))</f>
        <v>3990</v>
      </c>
      <c r="M97" s="89">
        <f>IF($K97="","",INDEX('2. závod'!$A:$CM,$K97+3,INDEX('Základní list'!$B:$B,MATCH($J97,'Základní list'!$A:$A,0),1)+2))</f>
        <v>9</v>
      </c>
      <c r="N97" s="88">
        <f t="shared" si="8"/>
        <v>10680</v>
      </c>
      <c r="O97" s="89">
        <f t="shared" si="9"/>
        <v>20</v>
      </c>
      <c r="P97" s="94">
        <v>89</v>
      </c>
      <c r="Q97" s="90" t="str">
        <f t="shared" si="10"/>
        <v>d16</v>
      </c>
      <c r="R97" s="90" t="str">
        <f t="shared" si="11"/>
        <v>b5</v>
      </c>
      <c r="S97" s="90"/>
    </row>
    <row r="98" spans="1:19" ht="18" customHeight="1">
      <c r="A98" s="84">
        <v>90</v>
      </c>
      <c r="B98" s="172" t="s">
        <v>108</v>
      </c>
      <c r="C98" s="85" t="s">
        <v>230</v>
      </c>
      <c r="D98" s="86" t="s">
        <v>118</v>
      </c>
      <c r="E98" s="87">
        <v>6411</v>
      </c>
      <c r="F98" s="84" t="s">
        <v>353</v>
      </c>
      <c r="G98" s="84">
        <v>3</v>
      </c>
      <c r="H98" s="88">
        <f>IF($G98="","",INDEX('1. závod'!$A:$CM,$G98+3,INDEX('Základní list'!$B:$B,MATCH($F98,'Základní list'!$A:$A,0),1)))</f>
        <v>8140</v>
      </c>
      <c r="I98" s="89">
        <f>IF($G98="","",INDEX('1. závod'!$A:$CL,$G98+3,INDEX('Základní list'!$B:$B,MATCH($F98,'Základní list'!$A:$A,0),1)+2))</f>
        <v>7</v>
      </c>
      <c r="J98" s="84" t="s">
        <v>359</v>
      </c>
      <c r="K98" s="84">
        <v>11</v>
      </c>
      <c r="L98" s="88">
        <f>IF($K98="","",INDEX('2. závod'!$A:$CM,$K98+3,INDEX('Základní list'!$B:$B,MATCH($J98,'Základní list'!$A:$A,0),1)))</f>
        <v>1400</v>
      </c>
      <c r="M98" s="89">
        <f>IF($K98="","",INDEX('2. závod'!$A:$CM,$K98+3,INDEX('Základní list'!$B:$B,MATCH($J98,'Základní list'!$A:$A,0),1)+2))</f>
        <v>13</v>
      </c>
      <c r="N98" s="88">
        <f t="shared" si="8"/>
        <v>9540</v>
      </c>
      <c r="O98" s="89">
        <f t="shared" si="9"/>
        <v>20</v>
      </c>
      <c r="P98" s="94">
        <v>90</v>
      </c>
      <c r="Q98" s="90" t="str">
        <f t="shared" si="10"/>
        <v>f3</v>
      </c>
      <c r="R98" s="90" t="str">
        <f t="shared" si="11"/>
        <v>d11</v>
      </c>
      <c r="S98" s="90"/>
    </row>
    <row r="99" spans="1:19" ht="18" customHeight="1">
      <c r="A99" s="84">
        <v>91</v>
      </c>
      <c r="B99" s="96" t="s">
        <v>256</v>
      </c>
      <c r="C99" s="85" t="s">
        <v>53</v>
      </c>
      <c r="D99" s="86" t="s">
        <v>257</v>
      </c>
      <c r="E99" s="87">
        <v>5165</v>
      </c>
      <c r="F99" s="84" t="s">
        <v>351</v>
      </c>
      <c r="G99" s="84">
        <v>13</v>
      </c>
      <c r="H99" s="88">
        <f>IF($G99="","",INDEX('1. závod'!$A:$CM,$G99+3,INDEX('Základní list'!$B:$B,MATCH($F99,'Základní list'!$A:$A,0),1)))</f>
        <v>8510</v>
      </c>
      <c r="I99" s="89">
        <f>IF($G99="","",INDEX('1. závod'!$A:$CL,$G99+3,INDEX('Základní list'!$B:$B,MATCH($F99,'Základní list'!$A:$A,0),1)+2))</f>
        <v>5</v>
      </c>
      <c r="J99" s="84" t="s">
        <v>359</v>
      </c>
      <c r="K99" s="84">
        <v>8</v>
      </c>
      <c r="L99" s="88">
        <f>IF($K99="","",INDEX('2. závod'!$A:$CM,$K99+3,INDEX('Základní list'!$B:$B,MATCH($J99,'Základní list'!$A:$A,0),1)))</f>
        <v>420</v>
      </c>
      <c r="M99" s="89">
        <f>IF($K99="","",INDEX('2. závod'!$A:$CM,$K99+3,INDEX('Základní list'!$B:$B,MATCH($J99,'Základní list'!$A:$A,0),1)+2))</f>
        <v>15</v>
      </c>
      <c r="N99" s="88">
        <f t="shared" si="8"/>
        <v>8930</v>
      </c>
      <c r="O99" s="89">
        <f t="shared" si="9"/>
        <v>20</v>
      </c>
      <c r="P99" s="94">
        <v>91</v>
      </c>
      <c r="Q99" s="90" t="str">
        <f t="shared" si="10"/>
        <v>b13</v>
      </c>
      <c r="R99" s="90" t="str">
        <f t="shared" si="11"/>
        <v>d8</v>
      </c>
      <c r="S99" s="90"/>
    </row>
    <row r="100" spans="1:19" ht="18" customHeight="1">
      <c r="A100" s="84">
        <v>92</v>
      </c>
      <c r="B100" s="172" t="s">
        <v>109</v>
      </c>
      <c r="C100" s="85" t="s">
        <v>53</v>
      </c>
      <c r="D100" s="86" t="s">
        <v>143</v>
      </c>
      <c r="E100" s="87">
        <v>3813</v>
      </c>
      <c r="F100" s="84" t="s">
        <v>356</v>
      </c>
      <c r="G100" s="84">
        <v>5</v>
      </c>
      <c r="H100" s="88">
        <f>IF($G100="","",INDEX('1. závod'!$A:$CM,$G100+3,INDEX('Základní list'!$B:$B,MATCH($F100,'Základní list'!$A:$A,0),1)))</f>
        <v>2943</v>
      </c>
      <c r="I100" s="89">
        <f>IF($G100="","",INDEX('1. závod'!$A:$CL,$G100+3,INDEX('Základní list'!$B:$B,MATCH($F100,'Základní list'!$A:$A,0),1)+2))</f>
        <v>11</v>
      </c>
      <c r="J100" s="84" t="s">
        <v>356</v>
      </c>
      <c r="K100" s="84">
        <v>7</v>
      </c>
      <c r="L100" s="88">
        <f>IF($K100="","",INDEX('2. závod'!$A:$CM,$K100+3,INDEX('Základní list'!$B:$B,MATCH($J100,'Základní list'!$A:$A,0),1)))</f>
        <v>8290</v>
      </c>
      <c r="M100" s="89">
        <f>IF($K100="","",INDEX('2. závod'!$A:$CM,$K100+3,INDEX('Základní list'!$B:$B,MATCH($J100,'Základní list'!$A:$A,0),1)+2))</f>
        <v>10</v>
      </c>
      <c r="N100" s="88">
        <f t="shared" si="8"/>
        <v>11233</v>
      </c>
      <c r="O100" s="89">
        <f t="shared" si="9"/>
        <v>21</v>
      </c>
      <c r="P100" s="94">
        <v>92</v>
      </c>
      <c r="Q100" s="90" t="str">
        <f t="shared" si="10"/>
        <v>a5</v>
      </c>
      <c r="R100" s="90" t="str">
        <f t="shared" si="11"/>
        <v>a7</v>
      </c>
      <c r="S100" s="90"/>
    </row>
    <row r="101" spans="1:19" ht="18" customHeight="1">
      <c r="A101" s="84">
        <v>93</v>
      </c>
      <c r="B101" s="96" t="s">
        <v>309</v>
      </c>
      <c r="C101" s="85" t="s">
        <v>53</v>
      </c>
      <c r="D101" s="86"/>
      <c r="E101" s="87">
        <v>6835</v>
      </c>
      <c r="F101" s="84" t="s">
        <v>353</v>
      </c>
      <c r="G101" s="84">
        <v>5</v>
      </c>
      <c r="H101" s="88">
        <f>IF($G101="","",INDEX('1. závod'!$A:$CM,$G101+3,INDEX('Základní list'!$B:$B,MATCH($F101,'Základní list'!$A:$A,0),1)))</f>
        <v>5430</v>
      </c>
      <c r="I101" s="89">
        <f>IF($G101="","",INDEX('1. závod'!$A:$CL,$G101+3,INDEX('Základní list'!$B:$B,MATCH($F101,'Základní list'!$A:$A,0),1)+2))</f>
        <v>10</v>
      </c>
      <c r="J101" s="84" t="s">
        <v>355</v>
      </c>
      <c r="K101" s="84">
        <v>4</v>
      </c>
      <c r="L101" s="88">
        <f>IF($K101="","",INDEX('2. závod'!$A:$CM,$K101+3,INDEX('Základní list'!$B:$B,MATCH($J101,'Základní list'!$A:$A,0),1)))</f>
        <v>1840</v>
      </c>
      <c r="M101" s="89">
        <f>IF($K101="","",INDEX('2. závod'!$A:$CM,$K101+3,INDEX('Základní list'!$B:$B,MATCH($J101,'Základní list'!$A:$A,0),1)+2))</f>
        <v>11</v>
      </c>
      <c r="N101" s="88">
        <f t="shared" si="8"/>
        <v>7270</v>
      </c>
      <c r="O101" s="89">
        <f t="shared" si="9"/>
        <v>21</v>
      </c>
      <c r="P101" s="94">
        <v>93</v>
      </c>
      <c r="Q101" s="90" t="str">
        <f t="shared" si="10"/>
        <v>f5</v>
      </c>
      <c r="R101" s="90" t="str">
        <f t="shared" si="11"/>
        <v>e4</v>
      </c>
      <c r="S101" s="90"/>
    </row>
    <row r="102" spans="1:19" ht="18" customHeight="1">
      <c r="A102" s="84">
        <v>94</v>
      </c>
      <c r="B102" s="96" t="s">
        <v>247</v>
      </c>
      <c r="C102" s="85" t="s">
        <v>53</v>
      </c>
      <c r="D102" s="86" t="s">
        <v>185</v>
      </c>
      <c r="E102" s="87">
        <v>6700</v>
      </c>
      <c r="F102" s="84" t="s">
        <v>352</v>
      </c>
      <c r="G102" s="84">
        <v>9</v>
      </c>
      <c r="H102" s="88">
        <f>IF($G102="","",INDEX('1. závod'!$A:$CM,$G102+3,INDEX('Základní list'!$B:$B,MATCH($F102,'Základní list'!$A:$A,0),1)))</f>
        <v>3180</v>
      </c>
      <c r="I102" s="89">
        <f>IF($G102="","",INDEX('1. závod'!$A:$CL,$G102+3,INDEX('Základní list'!$B:$B,MATCH($F102,'Základní list'!$A:$A,0),1)+2))</f>
        <v>14</v>
      </c>
      <c r="J102" s="84" t="s">
        <v>355</v>
      </c>
      <c r="K102" s="84">
        <v>13</v>
      </c>
      <c r="L102" s="88">
        <f>IF($K102="","",INDEX('2. závod'!$A:$CM,$K102+3,INDEX('Základní list'!$B:$B,MATCH($J102,'Základní list'!$A:$A,0),1)))</f>
        <v>4000</v>
      </c>
      <c r="M102" s="89">
        <f>IF($K102="","",INDEX('2. závod'!$A:$CM,$K102+3,INDEX('Základní list'!$B:$B,MATCH($J102,'Základní list'!$A:$A,0),1)+2))</f>
        <v>7</v>
      </c>
      <c r="N102" s="88">
        <f t="shared" si="8"/>
        <v>7180</v>
      </c>
      <c r="O102" s="89">
        <f t="shared" si="9"/>
        <v>21</v>
      </c>
      <c r="P102" s="94">
        <v>94</v>
      </c>
      <c r="Q102" s="90" t="str">
        <f t="shared" si="10"/>
        <v>g9</v>
      </c>
      <c r="R102" s="90" t="str">
        <f t="shared" si="11"/>
        <v>e13</v>
      </c>
      <c r="S102" s="90"/>
    </row>
    <row r="103" spans="1:19" ht="18" customHeight="1">
      <c r="A103" s="84">
        <v>95</v>
      </c>
      <c r="B103" s="96" t="s">
        <v>232</v>
      </c>
      <c r="C103" s="85" t="s">
        <v>57</v>
      </c>
      <c r="D103" s="86" t="s">
        <v>234</v>
      </c>
      <c r="E103" s="87">
        <v>6234</v>
      </c>
      <c r="F103" s="84" t="s">
        <v>357</v>
      </c>
      <c r="G103" s="84">
        <v>15</v>
      </c>
      <c r="H103" s="88">
        <f>IF($G103="","",INDEX('1. závod'!$A:$CM,$G103+3,INDEX('Základní list'!$B:$B,MATCH($F103,'Základní list'!$A:$A,0),1)))</f>
        <v>2750</v>
      </c>
      <c r="I103" s="89">
        <f>IF($G103="","",INDEX('1. závod'!$A:$CL,$G103+3,INDEX('Základní list'!$B:$B,MATCH($F103,'Základní list'!$A:$A,0),1)+2))</f>
        <v>14</v>
      </c>
      <c r="J103" s="84" t="s">
        <v>351</v>
      </c>
      <c r="K103" s="84">
        <v>11</v>
      </c>
      <c r="L103" s="88">
        <f>IF($K103="","",INDEX('2. závod'!$A:$CM,$K103+3,INDEX('Základní list'!$B:$B,MATCH($J103,'Základní list'!$A:$A,0),1)))</f>
        <v>4330</v>
      </c>
      <c r="M103" s="89">
        <f>IF($K103="","",INDEX('2. závod'!$A:$CM,$K103+3,INDEX('Základní list'!$B:$B,MATCH($J103,'Základní list'!$A:$A,0),1)+2))</f>
        <v>7</v>
      </c>
      <c r="N103" s="88">
        <f t="shared" si="8"/>
        <v>7080</v>
      </c>
      <c r="O103" s="89">
        <f t="shared" si="9"/>
        <v>21</v>
      </c>
      <c r="P103" s="94">
        <v>95</v>
      </c>
      <c r="Q103" s="90" t="str">
        <f t="shared" si="10"/>
        <v>c15</v>
      </c>
      <c r="R103" s="90" t="str">
        <f t="shared" si="11"/>
        <v>b11</v>
      </c>
      <c r="S103" s="90"/>
    </row>
    <row r="104" spans="1:19" ht="18" customHeight="1">
      <c r="A104" s="84">
        <v>96</v>
      </c>
      <c r="B104" s="96" t="s">
        <v>337</v>
      </c>
      <c r="C104" s="95" t="s">
        <v>53</v>
      </c>
      <c r="D104" s="86" t="s">
        <v>161</v>
      </c>
      <c r="E104" s="87">
        <v>3407</v>
      </c>
      <c r="F104" s="84" t="s">
        <v>358</v>
      </c>
      <c r="G104" s="84">
        <v>9</v>
      </c>
      <c r="H104" s="88">
        <f>IF($G104="","",INDEX('1. závod'!$A:$CM,$G104+3,INDEX('Základní list'!$B:$B,MATCH($F104,'Základní list'!$A:$A,0),1)))</f>
        <v>6380</v>
      </c>
      <c r="I104" s="89">
        <f>IF($G104="","",INDEX('1. závod'!$A:$CL,$G104+3,INDEX('Základní list'!$B:$B,MATCH($F104,'Základní list'!$A:$A,0),1)+2))</f>
        <v>15</v>
      </c>
      <c r="J104" s="84" t="s">
        <v>354</v>
      </c>
      <c r="K104" s="84">
        <v>8</v>
      </c>
      <c r="L104" s="88">
        <f>IF($K104="","",INDEX('2. závod'!$A:$CM,$K104+3,INDEX('Základní list'!$B:$B,MATCH($J104,'Základní list'!$A:$A,0),1)))</f>
        <v>12410</v>
      </c>
      <c r="M104" s="89">
        <f>IF($K104="","",INDEX('2. závod'!$A:$CM,$K104+3,INDEX('Základní list'!$B:$B,MATCH($J104,'Základní list'!$A:$A,0),1)+2))</f>
        <v>7</v>
      </c>
      <c r="N104" s="88">
        <f t="shared" si="8"/>
        <v>18790</v>
      </c>
      <c r="O104" s="89">
        <f t="shared" si="9"/>
        <v>22</v>
      </c>
      <c r="P104" s="94">
        <v>96</v>
      </c>
      <c r="Q104" s="90" t="str">
        <f t="shared" si="10"/>
        <v>h9</v>
      </c>
      <c r="R104" s="90" t="str">
        <f t="shared" si="11"/>
        <v>i8</v>
      </c>
      <c r="S104" s="90"/>
    </row>
    <row r="105" spans="1:19" ht="18" customHeight="1">
      <c r="A105" s="84">
        <v>97</v>
      </c>
      <c r="B105" s="172" t="s">
        <v>110</v>
      </c>
      <c r="C105" s="85" t="s">
        <v>53</v>
      </c>
      <c r="D105" s="86" t="s">
        <v>119</v>
      </c>
      <c r="E105" s="87">
        <v>3902</v>
      </c>
      <c r="F105" s="84" t="s">
        <v>354</v>
      </c>
      <c r="G105" s="84">
        <v>10</v>
      </c>
      <c r="H105" s="88">
        <f>IF($G105="","",INDEX('1. závod'!$A:$CM,$G105+3,INDEX('Základní list'!$B:$B,MATCH($F105,'Základní list'!$A:$A,0),1)))</f>
        <v>9980</v>
      </c>
      <c r="I105" s="89">
        <f>IF($G105="","",INDEX('1. závod'!$A:$CL,$G105+3,INDEX('Základní list'!$B:$B,MATCH($F105,'Základní list'!$A:$A,0),1)+2))</f>
        <v>9</v>
      </c>
      <c r="J105" s="84" t="s">
        <v>354</v>
      </c>
      <c r="K105" s="84">
        <v>4</v>
      </c>
      <c r="L105" s="88">
        <f>IF($K105="","",INDEX('2. závod'!$A:$CM,$K105+3,INDEX('Základní list'!$B:$B,MATCH($J105,'Základní list'!$A:$A,0),1)))</f>
        <v>7190</v>
      </c>
      <c r="M105" s="89">
        <f>IF($K105="","",INDEX('2. závod'!$A:$CM,$K105+3,INDEX('Základní list'!$B:$B,MATCH($J105,'Základní list'!$A:$A,0),1)+2))</f>
        <v>13</v>
      </c>
      <c r="N105" s="88">
        <f aca="true" t="shared" si="12" ref="N105:N136">IF($K105="","",SUM(H105,L105))</f>
        <v>17170</v>
      </c>
      <c r="O105" s="89">
        <f aca="true" t="shared" si="13" ref="O105:O136">IF($K105="","",SUM(I105,M105))</f>
        <v>22</v>
      </c>
      <c r="P105" s="94">
        <v>97</v>
      </c>
      <c r="Q105" s="90" t="str">
        <f aca="true" t="shared" si="14" ref="Q105:Q136">CONCATENATE(F105,G105)</f>
        <v>i10</v>
      </c>
      <c r="R105" s="90" t="str">
        <f aca="true" t="shared" si="15" ref="R105:R136">CONCATENATE(J105,K105)</f>
        <v>i4</v>
      </c>
      <c r="S105" s="90"/>
    </row>
    <row r="106" spans="1:19" ht="18" customHeight="1">
      <c r="A106" s="84">
        <v>98</v>
      </c>
      <c r="B106" s="96" t="s">
        <v>258</v>
      </c>
      <c r="C106" s="85" t="s">
        <v>53</v>
      </c>
      <c r="D106" s="86" t="s">
        <v>259</v>
      </c>
      <c r="E106" s="87">
        <v>5713</v>
      </c>
      <c r="F106" s="84" t="s">
        <v>355</v>
      </c>
      <c r="G106" s="84">
        <v>12</v>
      </c>
      <c r="H106" s="88">
        <f>IF($G106="","",INDEX('1. závod'!$A:$CM,$G106+3,INDEX('Základní list'!$B:$B,MATCH($F106,'Základní list'!$A:$A,0),1)))</f>
        <v>5620</v>
      </c>
      <c r="I106" s="89">
        <f>IF($G106="","",INDEX('1. závod'!$A:$CL,$G106+3,INDEX('Základní list'!$B:$B,MATCH($F106,'Základní list'!$A:$A,0),1)+2))</f>
        <v>14</v>
      </c>
      <c r="J106" s="84" t="s">
        <v>352</v>
      </c>
      <c r="K106" s="84">
        <v>16</v>
      </c>
      <c r="L106" s="88">
        <f>IF($K106="","",INDEX('2. závod'!$A:$CM,$K106+3,INDEX('Základní list'!$B:$B,MATCH($J106,'Základní list'!$A:$A,0),1)))</f>
        <v>11400</v>
      </c>
      <c r="M106" s="89">
        <f>IF($K106="","",INDEX('2. závod'!$A:$CM,$K106+3,INDEX('Základní list'!$B:$B,MATCH($J106,'Základní list'!$A:$A,0),1)+2))</f>
        <v>8</v>
      </c>
      <c r="N106" s="88">
        <f t="shared" si="12"/>
        <v>17020</v>
      </c>
      <c r="O106" s="89">
        <f t="shared" si="13"/>
        <v>22</v>
      </c>
      <c r="P106" s="94">
        <v>98</v>
      </c>
      <c r="Q106" s="90" t="str">
        <f t="shared" si="14"/>
        <v>e12</v>
      </c>
      <c r="R106" s="90" t="str">
        <f t="shared" si="15"/>
        <v>g16</v>
      </c>
      <c r="S106" s="90"/>
    </row>
    <row r="107" spans="1:19" ht="18" customHeight="1">
      <c r="A107" s="84">
        <v>99</v>
      </c>
      <c r="B107" s="96" t="s">
        <v>231</v>
      </c>
      <c r="C107" s="85" t="s">
        <v>53</v>
      </c>
      <c r="D107" s="86" t="s">
        <v>234</v>
      </c>
      <c r="E107" s="87">
        <v>6235</v>
      </c>
      <c r="F107" s="84" t="s">
        <v>352</v>
      </c>
      <c r="G107" s="84">
        <v>4</v>
      </c>
      <c r="H107" s="88">
        <f>IF($G107="","",INDEX('1. závod'!$A:$CM,$G107+3,INDEX('Základní list'!$B:$B,MATCH($F107,'Základní list'!$A:$A,0),1)))</f>
        <v>9480</v>
      </c>
      <c r="I107" s="89">
        <f>IF($G107="","",INDEX('1. závod'!$A:$CL,$G107+3,INDEX('Základní list'!$B:$B,MATCH($F107,'Základní list'!$A:$A,0),1)+2))</f>
        <v>8</v>
      </c>
      <c r="J107" s="84" t="s">
        <v>354</v>
      </c>
      <c r="K107" s="84">
        <v>12</v>
      </c>
      <c r="L107" s="88">
        <f>IF($K107="","",INDEX('2. závod'!$A:$CM,$K107+3,INDEX('Základní list'!$B:$B,MATCH($J107,'Základní list'!$A:$A,0),1)))</f>
        <v>6640</v>
      </c>
      <c r="M107" s="89">
        <f>IF($K107="","",INDEX('2. závod'!$A:$CM,$K107+3,INDEX('Základní list'!$B:$B,MATCH($J107,'Základní list'!$A:$A,0),1)+2))</f>
        <v>14</v>
      </c>
      <c r="N107" s="88">
        <f t="shared" si="12"/>
        <v>16120</v>
      </c>
      <c r="O107" s="89">
        <f t="shared" si="13"/>
        <v>22</v>
      </c>
      <c r="P107" s="94">
        <v>99</v>
      </c>
      <c r="Q107" s="90" t="str">
        <f t="shared" si="14"/>
        <v>g4</v>
      </c>
      <c r="R107" s="90" t="str">
        <f t="shared" si="15"/>
        <v>i12</v>
      </c>
      <c r="S107" s="90"/>
    </row>
    <row r="108" spans="1:19" ht="18" customHeight="1">
      <c r="A108" s="84">
        <v>100</v>
      </c>
      <c r="B108" s="96" t="s">
        <v>312</v>
      </c>
      <c r="C108" s="85" t="s">
        <v>53</v>
      </c>
      <c r="D108" s="86" t="s">
        <v>348</v>
      </c>
      <c r="E108" s="87">
        <v>1086</v>
      </c>
      <c r="F108" s="84" t="s">
        <v>357</v>
      </c>
      <c r="G108" s="84">
        <v>4</v>
      </c>
      <c r="H108" s="88">
        <f>IF($G108="","",INDEX('1. závod'!$A:$CM,$G108+3,INDEX('Základní list'!$B:$B,MATCH($F108,'Základní list'!$A:$A,0),1)))</f>
        <v>6015</v>
      </c>
      <c r="I108" s="89">
        <f>IF($G108="","",INDEX('1. závod'!$A:$CL,$G108+3,INDEX('Základní list'!$B:$B,MATCH($F108,'Základní list'!$A:$A,0),1)+2))</f>
        <v>10</v>
      </c>
      <c r="J108" s="84" t="s">
        <v>354</v>
      </c>
      <c r="K108" s="84">
        <v>6</v>
      </c>
      <c r="L108" s="88">
        <f>IF($K108="","",INDEX('2. závod'!$A:$CM,$K108+3,INDEX('Základní list'!$B:$B,MATCH($J108,'Základní list'!$A:$A,0),1)))</f>
        <v>7820</v>
      </c>
      <c r="M108" s="89">
        <f>IF($K108="","",INDEX('2. závod'!$A:$CM,$K108+3,INDEX('Základní list'!$B:$B,MATCH($J108,'Základní list'!$A:$A,0),1)+2))</f>
        <v>12</v>
      </c>
      <c r="N108" s="88">
        <f t="shared" si="12"/>
        <v>13835</v>
      </c>
      <c r="O108" s="89">
        <f t="shared" si="13"/>
        <v>22</v>
      </c>
      <c r="P108" s="94">
        <v>100</v>
      </c>
      <c r="Q108" s="90" t="str">
        <f t="shared" si="14"/>
        <v>c4</v>
      </c>
      <c r="R108" s="90" t="str">
        <f t="shared" si="15"/>
        <v>i6</v>
      </c>
      <c r="S108" s="90"/>
    </row>
    <row r="109" spans="1:19" ht="18" customHeight="1">
      <c r="A109" s="84">
        <v>101</v>
      </c>
      <c r="B109" s="172" t="s">
        <v>156</v>
      </c>
      <c r="C109" s="85" t="s">
        <v>53</v>
      </c>
      <c r="D109" s="86" t="s">
        <v>157</v>
      </c>
      <c r="E109" s="87">
        <v>2373</v>
      </c>
      <c r="F109" s="84" t="s">
        <v>354</v>
      </c>
      <c r="G109" s="84">
        <v>3</v>
      </c>
      <c r="H109" s="88">
        <f>IF($G109="","",INDEX('1. závod'!$A:$CM,$G109+3,INDEX('Základní list'!$B:$B,MATCH($F109,'Základní list'!$A:$A,0),1)))</f>
        <v>9140</v>
      </c>
      <c r="I109" s="89">
        <f>IF($G109="","",INDEX('1. závod'!$A:$CL,$G109+3,INDEX('Základní list'!$B:$B,MATCH($F109,'Základní list'!$A:$A,0),1)+2))</f>
        <v>12</v>
      </c>
      <c r="J109" s="84" t="s">
        <v>359</v>
      </c>
      <c r="K109" s="84">
        <v>5</v>
      </c>
      <c r="L109" s="88">
        <f>IF($K109="","",INDEX('2. závod'!$A:$CM,$K109+3,INDEX('Základní list'!$B:$B,MATCH($J109,'Základní list'!$A:$A,0),1)))</f>
        <v>2220</v>
      </c>
      <c r="M109" s="89">
        <f>IF($K109="","",INDEX('2. závod'!$A:$CM,$K109+3,INDEX('Základní list'!$B:$B,MATCH($J109,'Základní list'!$A:$A,0),1)+2))</f>
        <v>10</v>
      </c>
      <c r="N109" s="88">
        <f t="shared" si="12"/>
        <v>11360</v>
      </c>
      <c r="O109" s="89">
        <f t="shared" si="13"/>
        <v>22</v>
      </c>
      <c r="P109" s="94">
        <v>101</v>
      </c>
      <c r="Q109" s="90" t="str">
        <f t="shared" si="14"/>
        <v>i3</v>
      </c>
      <c r="R109" s="90" t="str">
        <f t="shared" si="15"/>
        <v>d5</v>
      </c>
      <c r="S109" s="90"/>
    </row>
    <row r="110" spans="1:19" ht="18" customHeight="1">
      <c r="A110" s="84">
        <v>102</v>
      </c>
      <c r="B110" s="172" t="s">
        <v>162</v>
      </c>
      <c r="C110" s="85" t="s">
        <v>56</v>
      </c>
      <c r="D110" s="86" t="s">
        <v>164</v>
      </c>
      <c r="E110" s="87">
        <v>6110</v>
      </c>
      <c r="F110" s="84" t="s">
        <v>357</v>
      </c>
      <c r="G110" s="84">
        <v>12</v>
      </c>
      <c r="H110" s="88">
        <f>IF($G110="","",INDEX('1. závod'!$A:$CM,$G110+3,INDEX('Základní list'!$B:$B,MATCH($F110,'Základní list'!$A:$A,0),1)))</f>
        <v>9435</v>
      </c>
      <c r="I110" s="89">
        <f>IF($G110="","",INDEX('1. závod'!$A:$CL,$G110+3,INDEX('Základní list'!$B:$B,MATCH($F110,'Základní list'!$A:$A,0),1)+2))</f>
        <v>7</v>
      </c>
      <c r="J110" s="84" t="s">
        <v>356</v>
      </c>
      <c r="K110" s="84">
        <v>15</v>
      </c>
      <c r="L110" s="88">
        <f>IF($K110="","",INDEX('2. závod'!$A:$CM,$K110+3,INDEX('Základní list'!$B:$B,MATCH($J110,'Základní list'!$A:$A,0),1)))</f>
        <v>1760</v>
      </c>
      <c r="M110" s="89">
        <f>IF($K110="","",INDEX('2. závod'!$A:$CM,$K110+3,INDEX('Základní list'!$B:$B,MATCH($J110,'Základní list'!$A:$A,0),1)+2))</f>
        <v>15</v>
      </c>
      <c r="N110" s="88">
        <f t="shared" si="12"/>
        <v>11195</v>
      </c>
      <c r="O110" s="89">
        <f t="shared" si="13"/>
        <v>22</v>
      </c>
      <c r="P110" s="94">
        <v>102</v>
      </c>
      <c r="Q110" s="90" t="str">
        <f t="shared" si="14"/>
        <v>c12</v>
      </c>
      <c r="R110" s="90" t="str">
        <f t="shared" si="15"/>
        <v>a15</v>
      </c>
      <c r="S110" s="90"/>
    </row>
    <row r="111" spans="1:19" ht="18" customHeight="1">
      <c r="A111" s="84">
        <v>103</v>
      </c>
      <c r="B111" s="172" t="s">
        <v>151</v>
      </c>
      <c r="C111" s="85" t="s">
        <v>53</v>
      </c>
      <c r="D111" s="86" t="s">
        <v>152</v>
      </c>
      <c r="E111" s="87">
        <v>6769</v>
      </c>
      <c r="F111" s="84" t="s">
        <v>353</v>
      </c>
      <c r="G111" s="84">
        <v>15</v>
      </c>
      <c r="H111" s="88">
        <f>IF($G111="","",INDEX('1. závod'!$A:$CM,$G111+3,INDEX('Základní list'!$B:$B,MATCH($F111,'Základní list'!$A:$A,0),1)))</f>
        <v>3880</v>
      </c>
      <c r="I111" s="89">
        <f>IF($G111="","",INDEX('1. závod'!$A:$CL,$G111+3,INDEX('Základní list'!$B:$B,MATCH($F111,'Základní list'!$A:$A,0),1)+2))</f>
        <v>12</v>
      </c>
      <c r="J111" s="84" t="s">
        <v>357</v>
      </c>
      <c r="K111" s="84">
        <v>3</v>
      </c>
      <c r="L111" s="88">
        <f>IF($K111="","",INDEX('2. závod'!$A:$CM,$K111+3,INDEX('Základní list'!$B:$B,MATCH($J111,'Základní list'!$A:$A,0),1)))</f>
        <v>4980</v>
      </c>
      <c r="M111" s="89">
        <f>IF($K111="","",INDEX('2. závod'!$A:$CM,$K111+3,INDEX('Základní list'!$B:$B,MATCH($J111,'Základní list'!$A:$A,0),1)+2))</f>
        <v>10</v>
      </c>
      <c r="N111" s="88">
        <f t="shared" si="12"/>
        <v>8860</v>
      </c>
      <c r="O111" s="89">
        <f t="shared" si="13"/>
        <v>22</v>
      </c>
      <c r="P111" s="94">
        <v>103</v>
      </c>
      <c r="Q111" s="90" t="str">
        <f t="shared" si="14"/>
        <v>f15</v>
      </c>
      <c r="R111" s="90" t="str">
        <f t="shared" si="15"/>
        <v>c3</v>
      </c>
      <c r="S111" s="90"/>
    </row>
    <row r="112" spans="1:19" ht="18" customHeight="1">
      <c r="A112" s="84">
        <v>104</v>
      </c>
      <c r="B112" s="172" t="s">
        <v>134</v>
      </c>
      <c r="C112" s="85" t="s">
        <v>53</v>
      </c>
      <c r="D112" s="86" t="s">
        <v>135</v>
      </c>
      <c r="E112" s="87">
        <v>753</v>
      </c>
      <c r="F112" s="84" t="s">
        <v>351</v>
      </c>
      <c r="G112" s="84">
        <v>6</v>
      </c>
      <c r="H112" s="88">
        <f>IF($G112="","",INDEX('1. závod'!$A:$CM,$G112+3,INDEX('Základní list'!$B:$B,MATCH($F112,'Základní list'!$A:$A,0),1)))</f>
        <v>5420</v>
      </c>
      <c r="I112" s="89">
        <f>IF($G112="","",INDEX('1. závod'!$A:$CL,$G112+3,INDEX('Základní list'!$B:$B,MATCH($F112,'Základní list'!$A:$A,0),1)+2))</f>
        <v>10</v>
      </c>
      <c r="J112" s="84" t="s">
        <v>351</v>
      </c>
      <c r="K112" s="84">
        <v>6</v>
      </c>
      <c r="L112" s="88">
        <f>IF($K112="","",INDEX('2. závod'!$A:$CM,$K112+3,INDEX('Základní list'!$B:$B,MATCH($J112,'Základní list'!$A:$A,0),1)))</f>
        <v>2850</v>
      </c>
      <c r="M112" s="89">
        <f>IF($K112="","",INDEX('2. závod'!$A:$CM,$K112+3,INDEX('Základní list'!$B:$B,MATCH($J112,'Základní list'!$A:$A,0),1)+2))</f>
        <v>12</v>
      </c>
      <c r="N112" s="88">
        <f t="shared" si="12"/>
        <v>8270</v>
      </c>
      <c r="O112" s="89">
        <f t="shared" si="13"/>
        <v>22</v>
      </c>
      <c r="P112" s="94">
        <v>104</v>
      </c>
      <c r="Q112" s="90" t="str">
        <f t="shared" si="14"/>
        <v>b6</v>
      </c>
      <c r="R112" s="90" t="str">
        <f t="shared" si="15"/>
        <v>b6</v>
      </c>
      <c r="S112" s="90"/>
    </row>
    <row r="113" spans="1:19" ht="18" customHeight="1">
      <c r="A113" s="84">
        <v>105</v>
      </c>
      <c r="B113" s="96" t="s">
        <v>245</v>
      </c>
      <c r="C113" s="85" t="s">
        <v>230</v>
      </c>
      <c r="D113" s="86" t="s">
        <v>246</v>
      </c>
      <c r="E113" s="87">
        <v>6699</v>
      </c>
      <c r="F113" s="84" t="s">
        <v>352</v>
      </c>
      <c r="G113" s="84">
        <v>2</v>
      </c>
      <c r="H113" s="88">
        <f>IF($G113="","",INDEX('1. závod'!$A:$CM,$G113+3,INDEX('Základní list'!$B:$B,MATCH($F113,'Základní list'!$A:$A,0),1)))</f>
        <v>5310</v>
      </c>
      <c r="I113" s="89">
        <f>IF($G113="","",INDEX('1. závod'!$A:$CL,$G113+3,INDEX('Základní list'!$B:$B,MATCH($F113,'Základní list'!$A:$A,0),1)+2))</f>
        <v>12</v>
      </c>
      <c r="J113" s="84" t="s">
        <v>355</v>
      </c>
      <c r="K113" s="84">
        <v>12</v>
      </c>
      <c r="L113" s="88">
        <f>IF($K113="","",INDEX('2. závod'!$A:$CM,$K113+3,INDEX('Základní list'!$B:$B,MATCH($J113,'Základní list'!$A:$A,0),1)))</f>
        <v>1960</v>
      </c>
      <c r="M113" s="89">
        <f>IF($K113="","",INDEX('2. závod'!$A:$CM,$K113+3,INDEX('Základní list'!$B:$B,MATCH($J113,'Základní list'!$A:$A,0),1)+2))</f>
        <v>10</v>
      </c>
      <c r="N113" s="88">
        <f t="shared" si="12"/>
        <v>7270</v>
      </c>
      <c r="O113" s="89">
        <f t="shared" si="13"/>
        <v>22</v>
      </c>
      <c r="P113" s="94">
        <v>105</v>
      </c>
      <c r="Q113" s="90" t="str">
        <f t="shared" si="14"/>
        <v>g2</v>
      </c>
      <c r="R113" s="90" t="str">
        <f t="shared" si="15"/>
        <v>e12</v>
      </c>
      <c r="S113" s="90"/>
    </row>
    <row r="114" spans="1:19" ht="18" customHeight="1">
      <c r="A114" s="84">
        <v>106</v>
      </c>
      <c r="B114" s="172" t="s">
        <v>198</v>
      </c>
      <c r="C114" s="85" t="s">
        <v>53</v>
      </c>
      <c r="D114" s="86" t="s">
        <v>200</v>
      </c>
      <c r="E114" s="87">
        <v>6664</v>
      </c>
      <c r="F114" s="84" t="s">
        <v>351</v>
      </c>
      <c r="G114" s="84">
        <v>11</v>
      </c>
      <c r="H114" s="88">
        <f>IF($G114="","",INDEX('1. závod'!$A:$CM,$G114+3,INDEX('Základní list'!$B:$B,MATCH($F114,'Základní list'!$A:$A,0),1)))</f>
        <v>5260</v>
      </c>
      <c r="I114" s="89">
        <f>IF($G114="","",INDEX('1. závod'!$A:$CL,$G114+3,INDEX('Základní list'!$B:$B,MATCH($F114,'Základní list'!$A:$A,0),1)+2))</f>
        <v>11</v>
      </c>
      <c r="J114" s="84" t="s">
        <v>359</v>
      </c>
      <c r="K114" s="84">
        <v>12</v>
      </c>
      <c r="L114" s="88">
        <f>IF($K114="","",INDEX('2. závod'!$A:$CM,$K114+3,INDEX('Základní list'!$B:$B,MATCH($J114,'Základní list'!$A:$A,0),1)))</f>
        <v>1940</v>
      </c>
      <c r="M114" s="89">
        <f>IF($K114="","",INDEX('2. závod'!$A:$CM,$K114+3,INDEX('Základní list'!$B:$B,MATCH($J114,'Základní list'!$A:$A,0),1)+2))</f>
        <v>11</v>
      </c>
      <c r="N114" s="88">
        <f t="shared" si="12"/>
        <v>7200</v>
      </c>
      <c r="O114" s="89">
        <f t="shared" si="13"/>
        <v>22</v>
      </c>
      <c r="P114" s="94">
        <v>106</v>
      </c>
      <c r="Q114" s="90" t="str">
        <f t="shared" si="14"/>
        <v>b11</v>
      </c>
      <c r="R114" s="90" t="str">
        <f t="shared" si="15"/>
        <v>d12</v>
      </c>
      <c r="S114" s="90"/>
    </row>
    <row r="115" spans="1:19" ht="18" customHeight="1">
      <c r="A115" s="84">
        <v>107</v>
      </c>
      <c r="B115" s="96" t="s">
        <v>331</v>
      </c>
      <c r="C115" s="85" t="s">
        <v>53</v>
      </c>
      <c r="D115" s="86" t="s">
        <v>250</v>
      </c>
      <c r="E115" s="87">
        <v>3333</v>
      </c>
      <c r="F115" s="84" t="s">
        <v>353</v>
      </c>
      <c r="G115" s="84">
        <v>14</v>
      </c>
      <c r="H115" s="88">
        <f>IF($G115="","",INDEX('1. závod'!$A:$CM,$G115+3,INDEX('Základní list'!$B:$B,MATCH($F115,'Základní list'!$A:$A,0),1)))</f>
        <v>2770</v>
      </c>
      <c r="I115" s="89">
        <f>IF($G115="","",INDEX('1. závod'!$A:$CL,$G115+3,INDEX('Základní list'!$B:$B,MATCH($F115,'Základní list'!$A:$A,0),1)+2))</f>
        <v>14</v>
      </c>
      <c r="J115" s="84" t="s">
        <v>354</v>
      </c>
      <c r="K115" s="84">
        <v>7</v>
      </c>
      <c r="L115" s="88">
        <f>IF($K115="","",INDEX('2. závod'!$A:$CM,$K115+3,INDEX('Základní list'!$B:$B,MATCH($J115,'Základní list'!$A:$A,0),1)))</f>
        <v>12340</v>
      </c>
      <c r="M115" s="89">
        <f>IF($K115="","",INDEX('2. závod'!$A:$CM,$K115+3,INDEX('Základní list'!$B:$B,MATCH($J115,'Základní list'!$A:$A,0),1)+2))</f>
        <v>9</v>
      </c>
      <c r="N115" s="88">
        <f t="shared" si="12"/>
        <v>15110</v>
      </c>
      <c r="O115" s="89">
        <f t="shared" si="13"/>
        <v>23</v>
      </c>
      <c r="P115" s="94">
        <v>107</v>
      </c>
      <c r="Q115" s="90" t="str">
        <f t="shared" si="14"/>
        <v>f14</v>
      </c>
      <c r="R115" s="90" t="str">
        <f t="shared" si="15"/>
        <v>i7</v>
      </c>
      <c r="S115" s="90"/>
    </row>
    <row r="116" spans="1:19" ht="18" customHeight="1">
      <c r="A116" s="84">
        <v>108</v>
      </c>
      <c r="B116" s="172" t="s">
        <v>183</v>
      </c>
      <c r="C116" s="85" t="s">
        <v>53</v>
      </c>
      <c r="D116" s="86" t="s">
        <v>185</v>
      </c>
      <c r="E116" s="87">
        <v>5621</v>
      </c>
      <c r="F116" s="84" t="s">
        <v>357</v>
      </c>
      <c r="G116" s="84">
        <v>10</v>
      </c>
      <c r="H116" s="88">
        <f>IF($G116="","",INDEX('1. závod'!$A:$CM,$G116+3,INDEX('Základní list'!$B:$B,MATCH($F116,'Základní list'!$A:$A,0),1)))</f>
        <v>5425</v>
      </c>
      <c r="I116" s="89">
        <f>IF($G116="","",INDEX('1. závod'!$A:$CL,$G116+3,INDEX('Základní list'!$B:$B,MATCH($F116,'Základní list'!$A:$A,0),1)+2))</f>
        <v>12</v>
      </c>
      <c r="J116" s="84" t="s">
        <v>353</v>
      </c>
      <c r="K116" s="84">
        <v>4</v>
      </c>
      <c r="L116" s="88">
        <f>IF($K116="","",INDEX('2. závod'!$A:$CM,$K116+3,INDEX('Základní list'!$B:$B,MATCH($J116,'Základní list'!$A:$A,0),1)))</f>
        <v>5500</v>
      </c>
      <c r="M116" s="89">
        <f>IF($K116="","",INDEX('2. závod'!$A:$CM,$K116+3,INDEX('Základní list'!$B:$B,MATCH($J116,'Základní list'!$A:$A,0),1)+2))</f>
        <v>11</v>
      </c>
      <c r="N116" s="88">
        <f t="shared" si="12"/>
        <v>10925</v>
      </c>
      <c r="O116" s="89">
        <f t="shared" si="13"/>
        <v>23</v>
      </c>
      <c r="P116" s="94">
        <v>108</v>
      </c>
      <c r="Q116" s="90" t="str">
        <f t="shared" si="14"/>
        <v>c10</v>
      </c>
      <c r="R116" s="90" t="str">
        <f t="shared" si="15"/>
        <v>f4</v>
      </c>
      <c r="S116" s="90"/>
    </row>
    <row r="117" spans="1:19" ht="18" customHeight="1">
      <c r="A117" s="84">
        <v>109</v>
      </c>
      <c r="B117" s="172" t="s">
        <v>160</v>
      </c>
      <c r="C117" s="85" t="s">
        <v>53</v>
      </c>
      <c r="D117" s="86" t="s">
        <v>161</v>
      </c>
      <c r="E117" s="87">
        <v>6680</v>
      </c>
      <c r="F117" s="84" t="s">
        <v>353</v>
      </c>
      <c r="G117" s="84">
        <v>13</v>
      </c>
      <c r="H117" s="88">
        <f>IF($G117="","",INDEX('1. závod'!$A:$CM,$G117+3,INDEX('Základní list'!$B:$B,MATCH($F117,'Základní list'!$A:$A,0),1)))</f>
        <v>5700</v>
      </c>
      <c r="I117" s="89">
        <f>IF($G117="","",INDEX('1. závod'!$A:$CL,$G117+3,INDEX('Základní list'!$B:$B,MATCH($F117,'Základní list'!$A:$A,0),1)+2))</f>
        <v>9</v>
      </c>
      <c r="J117" s="84" t="s">
        <v>359</v>
      </c>
      <c r="K117" s="84">
        <v>9</v>
      </c>
      <c r="L117" s="88">
        <f>IF($K117="","",INDEX('2. závod'!$A:$CM,$K117+3,INDEX('Základní list'!$B:$B,MATCH($J117,'Základní list'!$A:$A,0),1)))</f>
        <v>620</v>
      </c>
      <c r="M117" s="89">
        <f>IF($K117="","",INDEX('2. závod'!$A:$CM,$K117+3,INDEX('Základní list'!$B:$B,MATCH($J117,'Základní list'!$A:$A,0),1)+2))</f>
        <v>14</v>
      </c>
      <c r="N117" s="88">
        <f t="shared" si="12"/>
        <v>6320</v>
      </c>
      <c r="O117" s="89">
        <f t="shared" si="13"/>
        <v>23</v>
      </c>
      <c r="P117" s="94">
        <v>109</v>
      </c>
      <c r="Q117" s="90" t="str">
        <f t="shared" si="14"/>
        <v>f13</v>
      </c>
      <c r="R117" s="90" t="str">
        <f t="shared" si="15"/>
        <v>d9</v>
      </c>
      <c r="S117" s="90"/>
    </row>
    <row r="118" spans="1:19" ht="18" customHeight="1">
      <c r="A118" s="84">
        <v>110</v>
      </c>
      <c r="B118" s="172" t="s">
        <v>106</v>
      </c>
      <c r="C118" s="85" t="s">
        <v>53</v>
      </c>
      <c r="D118" s="86" t="s">
        <v>117</v>
      </c>
      <c r="E118" s="87">
        <v>813</v>
      </c>
      <c r="F118" s="84" t="s">
        <v>351</v>
      </c>
      <c r="G118" s="84">
        <v>9</v>
      </c>
      <c r="H118" s="88">
        <f>IF($G118="","",INDEX('1. závod'!$A:$CM,$G118+3,INDEX('Základní list'!$B:$B,MATCH($F118,'Základní list'!$A:$A,0),1)))</f>
        <v>4660</v>
      </c>
      <c r="I118" s="89">
        <f>IF($G118="","",INDEX('1. závod'!$A:$CL,$G118+3,INDEX('Základní list'!$B:$B,MATCH($F118,'Základní list'!$A:$A,0),1)+2))</f>
        <v>12</v>
      </c>
      <c r="J118" s="84" t="s">
        <v>352</v>
      </c>
      <c r="K118" s="84">
        <v>12</v>
      </c>
      <c r="L118" s="88">
        <f>IF($K118="","",INDEX('2. závod'!$A:$CM,$K118+3,INDEX('Základní list'!$B:$B,MATCH($J118,'Základní list'!$A:$A,0),1)))</f>
        <v>8460</v>
      </c>
      <c r="M118" s="89">
        <f>IF($K118="","",INDEX('2. závod'!$A:$CM,$K118+3,INDEX('Základní list'!$B:$B,MATCH($J118,'Základní list'!$A:$A,0),1)+2))</f>
        <v>12</v>
      </c>
      <c r="N118" s="88">
        <f t="shared" si="12"/>
        <v>13120</v>
      </c>
      <c r="O118" s="89">
        <f t="shared" si="13"/>
        <v>24</v>
      </c>
      <c r="P118" s="94">
        <v>110</v>
      </c>
      <c r="Q118" s="90" t="str">
        <f t="shared" si="14"/>
        <v>b9</v>
      </c>
      <c r="R118" s="90" t="str">
        <f t="shared" si="15"/>
        <v>g12</v>
      </c>
      <c r="S118" s="90"/>
    </row>
    <row r="119" spans="1:19" ht="18" customHeight="1">
      <c r="A119" s="84">
        <v>111</v>
      </c>
      <c r="B119" s="171" t="s">
        <v>204</v>
      </c>
      <c r="C119" s="85" t="s">
        <v>53</v>
      </c>
      <c r="D119" s="86" t="s">
        <v>206</v>
      </c>
      <c r="E119" s="87">
        <v>6430</v>
      </c>
      <c r="F119" s="84" t="s">
        <v>353</v>
      </c>
      <c r="G119" s="84">
        <v>2</v>
      </c>
      <c r="H119" s="88">
        <f>IF($G119="","",INDEX('1. závod'!$A:$CM,$G119+3,INDEX('Základní list'!$B:$B,MATCH($F119,'Základní list'!$A:$A,0),1)))</f>
        <v>4650</v>
      </c>
      <c r="I119" s="89">
        <f>IF($G119="","",INDEX('1. závod'!$A:$CL,$G119+3,INDEX('Základní list'!$B:$B,MATCH($F119,'Základní list'!$A:$A,0),1)+2))</f>
        <v>11</v>
      </c>
      <c r="J119" s="84" t="s">
        <v>352</v>
      </c>
      <c r="K119" s="84">
        <v>1</v>
      </c>
      <c r="L119" s="88">
        <f>IF($K119="","",INDEX('2. závod'!$A:$CM,$K119+3,INDEX('Základní list'!$B:$B,MATCH($J119,'Základní list'!$A:$A,0),1)))</f>
        <v>7270</v>
      </c>
      <c r="M119" s="89">
        <f>IF($K119="","",INDEX('2. závod'!$A:$CM,$K119+3,INDEX('Základní list'!$B:$B,MATCH($J119,'Základní list'!$A:$A,0),1)+2))</f>
        <v>13</v>
      </c>
      <c r="N119" s="88">
        <f t="shared" si="12"/>
        <v>11920</v>
      </c>
      <c r="O119" s="89">
        <f t="shared" si="13"/>
        <v>24</v>
      </c>
      <c r="P119" s="94">
        <v>111</v>
      </c>
      <c r="Q119" s="90" t="str">
        <f t="shared" si="14"/>
        <v>f2</v>
      </c>
      <c r="R119" s="90" t="str">
        <f t="shared" si="15"/>
        <v>g1</v>
      </c>
      <c r="S119" s="90"/>
    </row>
    <row r="120" spans="1:19" ht="18" customHeight="1">
      <c r="A120" s="84">
        <v>112</v>
      </c>
      <c r="B120" s="96" t="s">
        <v>226</v>
      </c>
      <c r="C120" s="85" t="s">
        <v>53</v>
      </c>
      <c r="D120" s="86" t="s">
        <v>292</v>
      </c>
      <c r="E120" s="87">
        <v>4076</v>
      </c>
      <c r="F120" s="84" t="s">
        <v>359</v>
      </c>
      <c r="G120" s="84">
        <v>4</v>
      </c>
      <c r="H120" s="88">
        <f>IF($G120="","",INDEX('1. závod'!$A:$CM,$G120+3,INDEX('Základní list'!$B:$B,MATCH($F120,'Základní list'!$A:$A,0),1)))</f>
        <v>5940</v>
      </c>
      <c r="I120" s="89">
        <f>IF($G120="","",INDEX('1. závod'!$A:$CL,$G120+3,INDEX('Základní list'!$B:$B,MATCH($F120,'Základní list'!$A:$A,0),1)+2))</f>
        <v>12</v>
      </c>
      <c r="J120" s="84" t="s">
        <v>359</v>
      </c>
      <c r="K120" s="84">
        <v>10</v>
      </c>
      <c r="L120" s="88">
        <f>IF($K120="","",INDEX('2. závod'!$A:$CM,$K120+3,INDEX('Základní list'!$B:$B,MATCH($J120,'Základní list'!$A:$A,0),1)))</f>
        <v>1440</v>
      </c>
      <c r="M120" s="89">
        <f>IF($K120="","",INDEX('2. závod'!$A:$CM,$K120+3,INDEX('Základní list'!$B:$B,MATCH($J120,'Základní list'!$A:$A,0),1)+2))</f>
        <v>12</v>
      </c>
      <c r="N120" s="88">
        <f t="shared" si="12"/>
        <v>7380</v>
      </c>
      <c r="O120" s="89">
        <f t="shared" si="13"/>
        <v>24</v>
      </c>
      <c r="P120" s="94">
        <v>112</v>
      </c>
      <c r="Q120" s="90" t="str">
        <f t="shared" si="14"/>
        <v>d4</v>
      </c>
      <c r="R120" s="90" t="str">
        <f t="shared" si="15"/>
        <v>d10</v>
      </c>
      <c r="S120" s="90"/>
    </row>
    <row r="121" spans="1:19" ht="18" customHeight="1">
      <c r="A121" s="84">
        <v>113</v>
      </c>
      <c r="B121" s="96" t="s">
        <v>237</v>
      </c>
      <c r="C121" s="85" t="s">
        <v>53</v>
      </c>
      <c r="D121" s="86" t="s">
        <v>190</v>
      </c>
      <c r="E121" s="87">
        <v>5290</v>
      </c>
      <c r="F121" s="84" t="s">
        <v>354</v>
      </c>
      <c r="G121" s="84">
        <v>12</v>
      </c>
      <c r="H121" s="88">
        <f>IF($G121="","",INDEX('1. závod'!$A:$CM,$G121+3,INDEX('Základní list'!$B:$B,MATCH($F121,'Základní list'!$A:$A,0),1)))</f>
        <v>3350</v>
      </c>
      <c r="I121" s="89">
        <f>IF($G121="","",INDEX('1. závod'!$A:$CL,$G121+3,INDEX('Základní list'!$B:$B,MATCH($F121,'Základní list'!$A:$A,0),1)+2))</f>
        <v>15</v>
      </c>
      <c r="J121" s="84" t="s">
        <v>358</v>
      </c>
      <c r="K121" s="84">
        <v>15</v>
      </c>
      <c r="L121" s="88">
        <f>IF($K121="","",INDEX('2. závod'!$A:$CM,$K121+3,INDEX('Základní list'!$B:$B,MATCH($J121,'Základní list'!$A:$A,0),1)))</f>
        <v>7610</v>
      </c>
      <c r="M121" s="89">
        <f>IF($K121="","",INDEX('2. závod'!$A:$CM,$K121+3,INDEX('Základní list'!$B:$B,MATCH($J121,'Základní list'!$A:$A,0),1)+2))</f>
        <v>9.5</v>
      </c>
      <c r="N121" s="88">
        <f t="shared" si="12"/>
        <v>10960</v>
      </c>
      <c r="O121" s="89">
        <f t="shared" si="13"/>
        <v>24.5</v>
      </c>
      <c r="P121" s="94">
        <v>113</v>
      </c>
      <c r="Q121" s="90" t="str">
        <f t="shared" si="14"/>
        <v>i12</v>
      </c>
      <c r="R121" s="90" t="str">
        <f t="shared" si="15"/>
        <v>h15</v>
      </c>
      <c r="S121" s="90"/>
    </row>
    <row r="122" spans="1:19" ht="18" customHeight="1">
      <c r="A122" s="84">
        <v>114</v>
      </c>
      <c r="B122" s="172" t="s">
        <v>149</v>
      </c>
      <c r="C122" s="85" t="s">
        <v>53</v>
      </c>
      <c r="D122" s="86" t="s">
        <v>150</v>
      </c>
      <c r="E122" s="87">
        <v>1140</v>
      </c>
      <c r="F122" s="84" t="s">
        <v>354</v>
      </c>
      <c r="G122" s="84">
        <v>13</v>
      </c>
      <c r="H122" s="88">
        <f>IF($G122="","",INDEX('1. závod'!$A:$CM,$G122+3,INDEX('Základní list'!$B:$B,MATCH($F122,'Základní list'!$A:$A,0),1)))</f>
        <v>8550</v>
      </c>
      <c r="I122" s="89">
        <f>IF($G122="","",INDEX('1. závod'!$A:$CL,$G122+3,INDEX('Základní list'!$B:$B,MATCH($F122,'Základní list'!$A:$A,0),1)+2))</f>
        <v>13</v>
      </c>
      <c r="J122" s="84" t="s">
        <v>358</v>
      </c>
      <c r="K122" s="84">
        <v>1</v>
      </c>
      <c r="L122" s="88">
        <f>IF($K122="","",INDEX('2. závod'!$A:$CM,$K122+3,INDEX('Základní list'!$B:$B,MATCH($J122,'Základní list'!$A:$A,0),1)))</f>
        <v>3180</v>
      </c>
      <c r="M122" s="89">
        <f>IF($K122="","",INDEX('2. závod'!$A:$CM,$K122+3,INDEX('Základní list'!$B:$B,MATCH($J122,'Základní list'!$A:$A,0),1)+2))</f>
        <v>12</v>
      </c>
      <c r="N122" s="88">
        <f t="shared" si="12"/>
        <v>11730</v>
      </c>
      <c r="O122" s="89">
        <f t="shared" si="13"/>
        <v>25</v>
      </c>
      <c r="P122" s="94">
        <v>114</v>
      </c>
      <c r="Q122" s="90" t="str">
        <f t="shared" si="14"/>
        <v>i13</v>
      </c>
      <c r="R122" s="90" t="str">
        <f t="shared" si="15"/>
        <v>h1</v>
      </c>
      <c r="S122" s="90"/>
    </row>
    <row r="123" spans="1:19" ht="18" customHeight="1">
      <c r="A123" s="84">
        <v>115</v>
      </c>
      <c r="B123" s="172" t="s">
        <v>196</v>
      </c>
      <c r="C123" s="85" t="s">
        <v>53</v>
      </c>
      <c r="D123" s="86" t="s">
        <v>199</v>
      </c>
      <c r="E123" s="87">
        <v>4309</v>
      </c>
      <c r="F123" s="84" t="s">
        <v>354</v>
      </c>
      <c r="G123" s="84">
        <v>15</v>
      </c>
      <c r="H123" s="88">
        <f>IF($G123="","",INDEX('1. závod'!$A:$CM,$G123+3,INDEX('Základní list'!$B:$B,MATCH($F123,'Základní list'!$A:$A,0),1)))</f>
        <v>9850</v>
      </c>
      <c r="I123" s="89">
        <f>IF($G123="","",INDEX('1. závod'!$A:$CL,$G123+3,INDEX('Základní list'!$B:$B,MATCH($F123,'Základní list'!$A:$A,0),1)+2))</f>
        <v>11</v>
      </c>
      <c r="J123" s="84" t="s">
        <v>358</v>
      </c>
      <c r="K123" s="84">
        <v>14</v>
      </c>
      <c r="L123" s="88">
        <f>IF($K123="","",INDEX('2. závod'!$A:$CM,$K123+3,INDEX('Základní list'!$B:$B,MATCH($J123,'Základní list'!$A:$A,0),1)))</f>
        <v>1610</v>
      </c>
      <c r="M123" s="89">
        <f>IF($K123="","",INDEX('2. závod'!$A:$CM,$K123+3,INDEX('Základní list'!$B:$B,MATCH($J123,'Základní list'!$A:$A,0),1)+2))</f>
        <v>14</v>
      </c>
      <c r="N123" s="88">
        <f t="shared" si="12"/>
        <v>11460</v>
      </c>
      <c r="O123" s="89">
        <f t="shared" si="13"/>
        <v>25</v>
      </c>
      <c r="P123" s="94">
        <v>115</v>
      </c>
      <c r="Q123" s="90" t="str">
        <f t="shared" si="14"/>
        <v>i15</v>
      </c>
      <c r="R123" s="90" t="str">
        <f t="shared" si="15"/>
        <v>h14</v>
      </c>
      <c r="S123" s="90"/>
    </row>
    <row r="124" spans="1:19" ht="18" customHeight="1">
      <c r="A124" s="84">
        <v>116</v>
      </c>
      <c r="B124" s="96" t="s">
        <v>219</v>
      </c>
      <c r="C124" s="85" t="s">
        <v>53</v>
      </c>
      <c r="D124" s="86" t="s">
        <v>189</v>
      </c>
      <c r="E124" s="87">
        <v>6932</v>
      </c>
      <c r="F124" s="84" t="s">
        <v>352</v>
      </c>
      <c r="G124" s="84">
        <v>3</v>
      </c>
      <c r="H124" s="88">
        <f>IF($G124="","",INDEX('1. závod'!$A:$CM,$G124+3,INDEX('Základní list'!$B:$B,MATCH($F124,'Základní list'!$A:$A,0),1)))</f>
        <v>4090</v>
      </c>
      <c r="I124" s="89">
        <f>IF($G124="","",INDEX('1. závod'!$A:$CL,$G124+3,INDEX('Základní list'!$B:$B,MATCH($F124,'Základní list'!$A:$A,0),1)+2))</f>
        <v>13</v>
      </c>
      <c r="J124" s="84" t="s">
        <v>356</v>
      </c>
      <c r="K124" s="84">
        <v>8</v>
      </c>
      <c r="L124" s="88">
        <f>IF($K124="","",INDEX('2. závod'!$A:$CM,$K124+3,INDEX('Základní list'!$B:$B,MATCH($J124,'Základní list'!$A:$A,0),1)))</f>
        <v>5450</v>
      </c>
      <c r="M124" s="89">
        <f>IF($K124="","",INDEX('2. závod'!$A:$CM,$K124+3,INDEX('Základní list'!$B:$B,MATCH($J124,'Základní list'!$A:$A,0),1)+2))</f>
        <v>12</v>
      </c>
      <c r="N124" s="88">
        <f t="shared" si="12"/>
        <v>9540</v>
      </c>
      <c r="O124" s="89">
        <f t="shared" si="13"/>
        <v>25</v>
      </c>
      <c r="P124" s="94">
        <v>116</v>
      </c>
      <c r="Q124" s="90" t="str">
        <f t="shared" si="14"/>
        <v>g3</v>
      </c>
      <c r="R124" s="90" t="str">
        <f t="shared" si="15"/>
        <v>a8</v>
      </c>
      <c r="S124" s="90"/>
    </row>
    <row r="125" spans="1:19" ht="18" customHeight="1">
      <c r="A125" s="84">
        <v>117</v>
      </c>
      <c r="B125" s="96" t="s">
        <v>323</v>
      </c>
      <c r="C125" s="85" t="s">
        <v>53</v>
      </c>
      <c r="D125" s="86" t="s">
        <v>324</v>
      </c>
      <c r="E125" s="87">
        <v>1863</v>
      </c>
      <c r="F125" s="84" t="s">
        <v>351</v>
      </c>
      <c r="G125" s="84">
        <v>8</v>
      </c>
      <c r="H125" s="88">
        <f>IF($G125="","",INDEX('1. závod'!$A:$CM,$G125+3,INDEX('Základní list'!$B:$B,MATCH($F125,'Základní list'!$A:$A,0),1)))</f>
        <v>5540</v>
      </c>
      <c r="I125" s="89">
        <f>IF($G125="","",INDEX('1. závod'!$A:$CL,$G125+3,INDEX('Základní list'!$B:$B,MATCH($F125,'Základní list'!$A:$A,0),1)+2))</f>
        <v>9</v>
      </c>
      <c r="J125" s="84" t="s">
        <v>359</v>
      </c>
      <c r="K125" s="84">
        <v>1</v>
      </c>
      <c r="L125" s="88">
        <f>IF($K125="","",INDEX('2. závod'!$A:$CM,$K125+3,INDEX('Základní list'!$B:$B,MATCH($J125,'Základní list'!$A:$A,0),1)))</f>
        <v>0</v>
      </c>
      <c r="M125" s="89">
        <f>IF($K125="","",INDEX('2. závod'!$A:$CM,$K125+3,INDEX('Základní list'!$B:$B,MATCH($J125,'Základní list'!$A:$A,0),1)+2))</f>
        <v>16</v>
      </c>
      <c r="N125" s="88">
        <f t="shared" si="12"/>
        <v>5540</v>
      </c>
      <c r="O125" s="89">
        <f t="shared" si="13"/>
        <v>25</v>
      </c>
      <c r="P125" s="94">
        <v>117</v>
      </c>
      <c r="Q125" s="90" t="str">
        <f t="shared" si="14"/>
        <v>b8</v>
      </c>
      <c r="R125" s="90" t="str">
        <f t="shared" si="15"/>
        <v>d1</v>
      </c>
      <c r="S125" s="90"/>
    </row>
    <row r="126" spans="1:19" ht="18" customHeight="1">
      <c r="A126" s="84">
        <v>118</v>
      </c>
      <c r="B126" s="96" t="s">
        <v>221</v>
      </c>
      <c r="C126" s="85" t="s">
        <v>53</v>
      </c>
      <c r="D126" s="86" t="s">
        <v>143</v>
      </c>
      <c r="E126" s="87">
        <v>3802</v>
      </c>
      <c r="F126" s="84" t="s">
        <v>358</v>
      </c>
      <c r="G126" s="84">
        <v>2</v>
      </c>
      <c r="H126" s="88">
        <f>IF($G126="","",INDEX('1. závod'!$A:$CM,$G126+3,INDEX('Základní list'!$B:$B,MATCH($F126,'Základní list'!$A:$A,0),1)))</f>
        <v>7280</v>
      </c>
      <c r="I126" s="89">
        <f>IF($G126="","",INDEX('1. závod'!$A:$CL,$G126+3,INDEX('Základní list'!$B:$B,MATCH($F126,'Základní list'!$A:$A,0),1)+2))</f>
        <v>10.5</v>
      </c>
      <c r="J126" s="84" t="s">
        <v>352</v>
      </c>
      <c r="K126" s="84">
        <v>5</v>
      </c>
      <c r="L126" s="88">
        <f>IF($K126="","",INDEX('2. závod'!$A:$CM,$K126+3,INDEX('Základní list'!$B:$B,MATCH($J126,'Základní list'!$A:$A,0),1)))</f>
        <v>2110</v>
      </c>
      <c r="M126" s="89">
        <f>IF($K126="","",INDEX('2. závod'!$A:$CM,$K126+3,INDEX('Základní list'!$B:$B,MATCH($J126,'Základní list'!$A:$A,0),1)+2))</f>
        <v>15</v>
      </c>
      <c r="N126" s="88">
        <f t="shared" si="12"/>
        <v>9390</v>
      </c>
      <c r="O126" s="89">
        <f t="shared" si="13"/>
        <v>25.5</v>
      </c>
      <c r="P126" s="94">
        <v>118</v>
      </c>
      <c r="Q126" s="90" t="str">
        <f t="shared" si="14"/>
        <v>h2</v>
      </c>
      <c r="R126" s="90" t="str">
        <f t="shared" si="15"/>
        <v>g5</v>
      </c>
      <c r="S126" s="90"/>
    </row>
    <row r="127" spans="1:19" ht="18" customHeight="1">
      <c r="A127" s="84">
        <v>119</v>
      </c>
      <c r="B127" s="172" t="s">
        <v>197</v>
      </c>
      <c r="C127" s="85" t="s">
        <v>53</v>
      </c>
      <c r="D127" s="86" t="s">
        <v>199</v>
      </c>
      <c r="E127" s="87">
        <v>5775</v>
      </c>
      <c r="F127" s="84" t="s">
        <v>353</v>
      </c>
      <c r="G127" s="84">
        <v>9</v>
      </c>
      <c r="H127" s="88">
        <f>IF($G127="","",INDEX('1. závod'!$A:$CM,$G127+3,INDEX('Základní list'!$B:$B,MATCH($F127,'Základní list'!$A:$A,0),1)))</f>
        <v>3040</v>
      </c>
      <c r="I127" s="89">
        <f>IF($G127="","",INDEX('1. závod'!$A:$CL,$G127+3,INDEX('Základní list'!$B:$B,MATCH($F127,'Základní list'!$A:$A,0),1)+2))</f>
        <v>13</v>
      </c>
      <c r="J127" s="84" t="s">
        <v>356</v>
      </c>
      <c r="K127" s="84">
        <v>5</v>
      </c>
      <c r="L127" s="88">
        <f>IF($K127="","",INDEX('2. závod'!$A:$CM,$K127+3,INDEX('Základní list'!$B:$B,MATCH($J127,'Základní list'!$A:$A,0),1)))</f>
        <v>4680</v>
      </c>
      <c r="M127" s="89">
        <f>IF($K127="","",INDEX('2. závod'!$A:$CM,$K127+3,INDEX('Základní list'!$B:$B,MATCH($J127,'Základní list'!$A:$A,0),1)+2))</f>
        <v>13</v>
      </c>
      <c r="N127" s="88">
        <f t="shared" si="12"/>
        <v>7720</v>
      </c>
      <c r="O127" s="89">
        <f t="shared" si="13"/>
        <v>26</v>
      </c>
      <c r="P127" s="94">
        <v>119</v>
      </c>
      <c r="Q127" s="90" t="str">
        <f t="shared" si="14"/>
        <v>f9</v>
      </c>
      <c r="R127" s="90" t="str">
        <f t="shared" si="15"/>
        <v>a5</v>
      </c>
      <c r="S127" s="90"/>
    </row>
    <row r="128" spans="1:19" ht="18" customHeight="1">
      <c r="A128" s="84">
        <v>120</v>
      </c>
      <c r="B128" s="96" t="s">
        <v>347</v>
      </c>
      <c r="C128" s="85" t="s">
        <v>53</v>
      </c>
      <c r="D128" s="86" t="s">
        <v>185</v>
      </c>
      <c r="E128" s="87">
        <v>2334</v>
      </c>
      <c r="F128" s="84" t="s">
        <v>355</v>
      </c>
      <c r="G128" s="84">
        <v>1</v>
      </c>
      <c r="H128" s="88">
        <f>IF($G128="","",INDEX('1. závod'!$A:$CM,$G128+3,INDEX('Základní list'!$B:$B,MATCH($F128,'Základní list'!$A:$A,0),1)))</f>
        <v>6120</v>
      </c>
      <c r="I128" s="89">
        <f>IF($G128="","",INDEX('1. závod'!$A:$CL,$G128+3,INDEX('Základní list'!$B:$B,MATCH($F128,'Základní list'!$A:$A,0),1)+2))</f>
        <v>13</v>
      </c>
      <c r="J128" s="84" t="s">
        <v>351</v>
      </c>
      <c r="K128" s="84">
        <v>2</v>
      </c>
      <c r="L128" s="88">
        <f>IF($K128="","",INDEX('2. závod'!$A:$CM,$K128+3,INDEX('Základní list'!$B:$B,MATCH($J128,'Základní list'!$A:$A,0),1)))</f>
        <v>1160</v>
      </c>
      <c r="M128" s="89">
        <f>IF($K128="","",INDEX('2. závod'!$A:$CM,$K128+3,INDEX('Základní list'!$B:$B,MATCH($J128,'Základní list'!$A:$A,0),1)+2))</f>
        <v>13</v>
      </c>
      <c r="N128" s="88">
        <f t="shared" si="12"/>
        <v>7280</v>
      </c>
      <c r="O128" s="89">
        <f t="shared" si="13"/>
        <v>26</v>
      </c>
      <c r="P128" s="94">
        <v>120</v>
      </c>
      <c r="Q128" s="90" t="str">
        <f t="shared" si="14"/>
        <v>e1</v>
      </c>
      <c r="R128" s="90" t="str">
        <f t="shared" si="15"/>
        <v>b2</v>
      </c>
      <c r="S128" s="90"/>
    </row>
    <row r="129" spans="1:19" ht="18" customHeight="1">
      <c r="A129" s="84">
        <v>121</v>
      </c>
      <c r="B129" s="172" t="s">
        <v>203</v>
      </c>
      <c r="C129" s="85" t="s">
        <v>53</v>
      </c>
      <c r="D129" s="86" t="s">
        <v>206</v>
      </c>
      <c r="E129" s="87">
        <v>6429</v>
      </c>
      <c r="F129" s="84" t="s">
        <v>356</v>
      </c>
      <c r="G129" s="84">
        <v>9</v>
      </c>
      <c r="H129" s="88">
        <f>IF($G129="","",INDEX('1. závod'!$A:$CM,$G129+3,INDEX('Základní list'!$B:$B,MATCH($F129,'Základní list'!$A:$A,0),1)))</f>
        <v>1060</v>
      </c>
      <c r="I129" s="89">
        <f>IF($G129="","",INDEX('1. závod'!$A:$CL,$G129+3,INDEX('Základní list'!$B:$B,MATCH($F129,'Základní list'!$A:$A,0),1)+2))</f>
        <v>14</v>
      </c>
      <c r="J129" s="84" t="s">
        <v>357</v>
      </c>
      <c r="K129" s="84">
        <v>8</v>
      </c>
      <c r="L129" s="88">
        <f>IF($K129="","",INDEX('2. závod'!$A:$CM,$K129+3,INDEX('Základní list'!$B:$B,MATCH($J129,'Základní list'!$A:$A,0),1)))</f>
        <v>4060</v>
      </c>
      <c r="M129" s="89">
        <f>IF($K129="","",INDEX('2. závod'!$A:$CM,$K129+3,INDEX('Základní list'!$B:$B,MATCH($J129,'Základní list'!$A:$A,0),1)+2))</f>
        <v>12</v>
      </c>
      <c r="N129" s="88">
        <f t="shared" si="12"/>
        <v>5120</v>
      </c>
      <c r="O129" s="89">
        <f t="shared" si="13"/>
        <v>26</v>
      </c>
      <c r="P129" s="94">
        <v>121</v>
      </c>
      <c r="Q129" s="90" t="str">
        <f t="shared" si="14"/>
        <v>a9</v>
      </c>
      <c r="R129" s="90" t="str">
        <f t="shared" si="15"/>
        <v>c8</v>
      </c>
      <c r="S129" s="90"/>
    </row>
    <row r="130" spans="1:19" ht="18" customHeight="1">
      <c r="A130" s="84">
        <v>122</v>
      </c>
      <c r="B130" s="171" t="s">
        <v>163</v>
      </c>
      <c r="C130" s="85" t="s">
        <v>53</v>
      </c>
      <c r="D130" s="86" t="s">
        <v>164</v>
      </c>
      <c r="E130" s="87">
        <v>5186</v>
      </c>
      <c r="F130" s="84" t="s">
        <v>358</v>
      </c>
      <c r="G130" s="84">
        <v>15</v>
      </c>
      <c r="H130" s="88">
        <f>IF($G130="","",INDEX('1. závod'!$A:$CM,$G130+3,INDEX('Základní list'!$B:$B,MATCH($F130,'Základní list'!$A:$A,0),1)))</f>
        <v>5120</v>
      </c>
      <c r="I130" s="89">
        <f>IF($G130="","",INDEX('1. závod'!$A:$CL,$G130+3,INDEX('Základní list'!$B:$B,MATCH($F130,'Základní list'!$A:$A,0),1)+2))</f>
        <v>16</v>
      </c>
      <c r="J130" s="84" t="s">
        <v>358</v>
      </c>
      <c r="K130" s="84">
        <v>7</v>
      </c>
      <c r="L130" s="88">
        <f>IF($K130="","",INDEX('2. závod'!$A:$CM,$K130+3,INDEX('Základní list'!$B:$B,MATCH($J130,'Základní list'!$A:$A,0),1)))</f>
        <v>6630</v>
      </c>
      <c r="M130" s="89">
        <f>IF($K130="","",INDEX('2. závod'!$A:$CM,$K130+3,INDEX('Základní list'!$B:$B,MATCH($J130,'Základní list'!$A:$A,0),1)+2))</f>
        <v>11</v>
      </c>
      <c r="N130" s="88">
        <f t="shared" si="12"/>
        <v>11750</v>
      </c>
      <c r="O130" s="89">
        <f t="shared" si="13"/>
        <v>27</v>
      </c>
      <c r="P130" s="94">
        <v>122</v>
      </c>
      <c r="Q130" s="90" t="str">
        <f t="shared" si="14"/>
        <v>h15</v>
      </c>
      <c r="R130" s="90" t="str">
        <f t="shared" si="15"/>
        <v>h7</v>
      </c>
      <c r="S130" s="90"/>
    </row>
    <row r="131" spans="1:19" ht="18" customHeight="1">
      <c r="A131" s="84">
        <v>123</v>
      </c>
      <c r="B131" s="96" t="s">
        <v>248</v>
      </c>
      <c r="C131" s="85" t="s">
        <v>53</v>
      </c>
      <c r="D131" s="86" t="s">
        <v>185</v>
      </c>
      <c r="E131" s="87">
        <v>3214</v>
      </c>
      <c r="F131" s="84" t="s">
        <v>358</v>
      </c>
      <c r="G131" s="84">
        <v>11</v>
      </c>
      <c r="H131" s="88">
        <f>IF($G131="","",INDEX('1. závod'!$A:$CM,$G131+3,INDEX('Základní list'!$B:$B,MATCH($F131,'Základní list'!$A:$A,0),1)))</f>
        <v>6540</v>
      </c>
      <c r="I131" s="89">
        <f>IF($G131="","",INDEX('1. závod'!$A:$CL,$G131+3,INDEX('Základní list'!$B:$B,MATCH($F131,'Základní list'!$A:$A,0),1)+2))</f>
        <v>14</v>
      </c>
      <c r="J131" s="84" t="s">
        <v>353</v>
      </c>
      <c r="K131" s="84">
        <v>6</v>
      </c>
      <c r="L131" s="88">
        <f>IF($K131="","",INDEX('2. závod'!$A:$CM,$K131+3,INDEX('Základní list'!$B:$B,MATCH($J131,'Základní list'!$A:$A,0),1)))</f>
        <v>5020</v>
      </c>
      <c r="M131" s="89">
        <f>IF($K131="","",INDEX('2. závod'!$A:$CM,$K131+3,INDEX('Základní list'!$B:$B,MATCH($J131,'Základní list'!$A:$A,0),1)+2))</f>
        <v>13</v>
      </c>
      <c r="N131" s="88">
        <f t="shared" si="12"/>
        <v>11560</v>
      </c>
      <c r="O131" s="89">
        <f t="shared" si="13"/>
        <v>27</v>
      </c>
      <c r="P131" s="94">
        <v>123</v>
      </c>
      <c r="Q131" s="90" t="str">
        <f t="shared" si="14"/>
        <v>h11</v>
      </c>
      <c r="R131" s="90" t="str">
        <f t="shared" si="15"/>
        <v>f6</v>
      </c>
      <c r="S131" s="90"/>
    </row>
    <row r="132" spans="1:19" ht="18" customHeight="1">
      <c r="A132" s="84">
        <v>124</v>
      </c>
      <c r="B132" s="96" t="s">
        <v>261</v>
      </c>
      <c r="C132" s="85" t="s">
        <v>57</v>
      </c>
      <c r="D132" s="86" t="s">
        <v>262</v>
      </c>
      <c r="E132" s="87">
        <v>6292</v>
      </c>
      <c r="F132" s="84" t="s">
        <v>356</v>
      </c>
      <c r="G132" s="84">
        <v>15</v>
      </c>
      <c r="H132" s="88">
        <f>IF($G132="","",INDEX('1. závod'!$A:$CM,$G132+3,INDEX('Základní list'!$B:$B,MATCH($F132,'Základní list'!$A:$A,0),1)))</f>
        <v>1510</v>
      </c>
      <c r="I132" s="89">
        <f>IF($G132="","",INDEX('1. závod'!$A:$CL,$G132+3,INDEX('Základní list'!$B:$B,MATCH($F132,'Základní list'!$A:$A,0),1)+2))</f>
        <v>13</v>
      </c>
      <c r="J132" s="84" t="s">
        <v>351</v>
      </c>
      <c r="K132" s="84">
        <v>8</v>
      </c>
      <c r="L132" s="88">
        <f>IF($K132="","",INDEX('2. závod'!$A:$CM,$K132+3,INDEX('Základní list'!$B:$B,MATCH($J132,'Základní list'!$A:$A,0),1)))</f>
        <v>540</v>
      </c>
      <c r="M132" s="89">
        <f>IF($K132="","",INDEX('2. závod'!$A:$CM,$K132+3,INDEX('Základní list'!$B:$B,MATCH($J132,'Základní list'!$A:$A,0),1)+2))</f>
        <v>14</v>
      </c>
      <c r="N132" s="88">
        <f t="shared" si="12"/>
        <v>2050</v>
      </c>
      <c r="O132" s="89">
        <f t="shared" si="13"/>
        <v>27</v>
      </c>
      <c r="P132" s="94">
        <v>124</v>
      </c>
      <c r="Q132" s="90" t="str">
        <f t="shared" si="14"/>
        <v>a15</v>
      </c>
      <c r="R132" s="90" t="str">
        <f t="shared" si="15"/>
        <v>b8</v>
      </c>
      <c r="S132" s="90"/>
    </row>
    <row r="133" spans="1:19" ht="18" customHeight="1">
      <c r="A133" s="84">
        <v>125</v>
      </c>
      <c r="B133" s="172" t="s">
        <v>126</v>
      </c>
      <c r="C133" s="85" t="s">
        <v>53</v>
      </c>
      <c r="D133" s="86" t="s">
        <v>127</v>
      </c>
      <c r="E133" s="87">
        <v>2909</v>
      </c>
      <c r="F133" s="84" t="s">
        <v>358</v>
      </c>
      <c r="G133" s="84">
        <v>7</v>
      </c>
      <c r="H133" s="88">
        <f>IF($G133="","",INDEX('1. závod'!$A:$CM,$G133+3,INDEX('Základní list'!$B:$B,MATCH($F133,'Základní list'!$A:$A,0),1)))</f>
        <v>7000</v>
      </c>
      <c r="I133" s="89">
        <f>IF($G133="","",INDEX('1. závod'!$A:$CL,$G133+3,INDEX('Základní list'!$B:$B,MATCH($F133,'Základní list'!$A:$A,0),1)+2))</f>
        <v>12</v>
      </c>
      <c r="J133" s="84" t="s">
        <v>355</v>
      </c>
      <c r="K133" s="84">
        <v>2</v>
      </c>
      <c r="L133" s="88">
        <f>IF($K133="","",INDEX('2. závod'!$A:$CM,$K133+3,INDEX('Základní list'!$B:$B,MATCH($J133,'Základní list'!$A:$A,0),1)))</f>
        <v>100</v>
      </c>
      <c r="M133" s="89">
        <f>IF($K133="","",INDEX('2. závod'!$A:$CM,$K133+3,INDEX('Základní list'!$B:$B,MATCH($J133,'Základní list'!$A:$A,0),1)+2))</f>
        <v>16</v>
      </c>
      <c r="N133" s="88">
        <f t="shared" si="12"/>
        <v>7100</v>
      </c>
      <c r="O133" s="89">
        <f t="shared" si="13"/>
        <v>28</v>
      </c>
      <c r="P133" s="94">
        <v>125</v>
      </c>
      <c r="Q133" s="90" t="str">
        <f t="shared" si="14"/>
        <v>h7</v>
      </c>
      <c r="R133" s="90" t="str">
        <f t="shared" si="15"/>
        <v>e2</v>
      </c>
      <c r="S133" s="90"/>
    </row>
    <row r="134" spans="1:19" ht="18" customHeight="1">
      <c r="A134" s="84">
        <v>126</v>
      </c>
      <c r="B134" s="96" t="s">
        <v>222</v>
      </c>
      <c r="C134" s="85" t="s">
        <v>53</v>
      </c>
      <c r="D134" s="86" t="s">
        <v>143</v>
      </c>
      <c r="E134" s="87">
        <v>3822</v>
      </c>
      <c r="F134" s="84" t="s">
        <v>351</v>
      </c>
      <c r="G134" s="84">
        <v>1</v>
      </c>
      <c r="H134" s="88">
        <f>IF($G134="","",INDEX('1. závod'!$A:$CM,$G134+3,INDEX('Základní list'!$B:$B,MATCH($F134,'Základní list'!$A:$A,0),1)))</f>
        <v>3370</v>
      </c>
      <c r="I134" s="89">
        <f>IF($G134="","",INDEX('1. závod'!$A:$CL,$G134+3,INDEX('Základní list'!$B:$B,MATCH($F134,'Základní list'!$A:$A,0),1)+2))</f>
        <v>14</v>
      </c>
      <c r="J134" s="84" t="s">
        <v>353</v>
      </c>
      <c r="K134" s="84">
        <v>13</v>
      </c>
      <c r="L134" s="88">
        <f>IF($K134="","",INDEX('2. závod'!$A:$CM,$K134+3,INDEX('Základní list'!$B:$B,MATCH($J134,'Základní list'!$A:$A,0),1)))</f>
        <v>1910</v>
      </c>
      <c r="M134" s="89">
        <f>IF($K134="","",INDEX('2. závod'!$A:$CM,$K134+3,INDEX('Základní list'!$B:$B,MATCH($J134,'Základní list'!$A:$A,0),1)+2))</f>
        <v>14</v>
      </c>
      <c r="N134" s="88">
        <f t="shared" si="12"/>
        <v>5280</v>
      </c>
      <c r="O134" s="89">
        <f t="shared" si="13"/>
        <v>28</v>
      </c>
      <c r="P134" s="94">
        <v>126</v>
      </c>
      <c r="Q134" s="90" t="str">
        <f t="shared" si="14"/>
        <v>b1</v>
      </c>
      <c r="R134" s="90" t="str">
        <f t="shared" si="15"/>
        <v>f13</v>
      </c>
      <c r="S134" s="90"/>
    </row>
    <row r="135" spans="1:19" ht="18" customHeight="1">
      <c r="A135" s="84">
        <v>127</v>
      </c>
      <c r="B135" s="172" t="s">
        <v>194</v>
      </c>
      <c r="C135" s="85" t="s">
        <v>53</v>
      </c>
      <c r="D135" s="86" t="s">
        <v>319</v>
      </c>
      <c r="E135" s="87">
        <v>6705</v>
      </c>
      <c r="F135" s="84" t="s">
        <v>357</v>
      </c>
      <c r="G135" s="84">
        <v>13</v>
      </c>
      <c r="H135" s="88">
        <f>IF($G135="","",INDEX('1. závod'!$A:$CM,$G135+3,INDEX('Základní list'!$B:$B,MATCH($F135,'Základní list'!$A:$A,0),1)))</f>
        <v>2480</v>
      </c>
      <c r="I135" s="89">
        <f>IF($G135="","",INDEX('1. závod'!$A:$CL,$G135+3,INDEX('Základní list'!$B:$B,MATCH($F135,'Základní list'!$A:$A,0),1)+2))</f>
        <v>15</v>
      </c>
      <c r="J135" s="84" t="s">
        <v>357</v>
      </c>
      <c r="K135" s="84">
        <v>14</v>
      </c>
      <c r="L135" s="88">
        <f>IF($K135="","",INDEX('2. závod'!$A:$CM,$K135+3,INDEX('Základní list'!$B:$B,MATCH($J135,'Základní list'!$A:$A,0),1)))</f>
        <v>2420</v>
      </c>
      <c r="M135" s="89">
        <f>IF($K135="","",INDEX('2. závod'!$A:$CM,$K135+3,INDEX('Základní list'!$B:$B,MATCH($J135,'Základní list'!$A:$A,0),1)+2))</f>
        <v>13</v>
      </c>
      <c r="N135" s="88">
        <f t="shared" si="12"/>
        <v>4900</v>
      </c>
      <c r="O135" s="89">
        <f t="shared" si="13"/>
        <v>28</v>
      </c>
      <c r="P135" s="94">
        <v>127</v>
      </c>
      <c r="Q135" s="90" t="str">
        <f t="shared" si="14"/>
        <v>c13</v>
      </c>
      <c r="R135" s="90" t="str">
        <f t="shared" si="15"/>
        <v>c14</v>
      </c>
      <c r="S135" s="90"/>
    </row>
    <row r="136" spans="1:19" ht="18" customHeight="1">
      <c r="A136" s="84">
        <v>128</v>
      </c>
      <c r="B136" s="172" t="s">
        <v>207</v>
      </c>
      <c r="C136" s="85" t="s">
        <v>53</v>
      </c>
      <c r="D136" s="86" t="s">
        <v>209</v>
      </c>
      <c r="E136" s="87">
        <v>2529</v>
      </c>
      <c r="F136" s="84" t="s">
        <v>357</v>
      </c>
      <c r="G136" s="84">
        <v>16</v>
      </c>
      <c r="H136" s="88">
        <f>IF($G136="","",INDEX('1. závod'!$A:$CM,$G136+3,INDEX('Základní list'!$B:$B,MATCH($F136,'Základní list'!$A:$A,0),1)))</f>
        <v>4080</v>
      </c>
      <c r="I136" s="89">
        <f>IF($G136="","",INDEX('1. závod'!$A:$CL,$G136+3,INDEX('Základní list'!$B:$B,MATCH($F136,'Základní list'!$A:$A,0),1)+2))</f>
        <v>13</v>
      </c>
      <c r="J136" s="84" t="s">
        <v>351</v>
      </c>
      <c r="K136" s="84">
        <v>10</v>
      </c>
      <c r="L136" s="88">
        <f>IF($K136="","",INDEX('2. závod'!$A:$CM,$K136+3,INDEX('Základní list'!$B:$B,MATCH($J136,'Základní list'!$A:$A,0),1)))</f>
        <v>520</v>
      </c>
      <c r="M136" s="89">
        <f>IF($K136="","",INDEX('2. závod'!$A:$CM,$K136+3,INDEX('Základní list'!$B:$B,MATCH($J136,'Základní list'!$A:$A,0),1)+2))</f>
        <v>15</v>
      </c>
      <c r="N136" s="88">
        <f t="shared" si="12"/>
        <v>4600</v>
      </c>
      <c r="O136" s="89">
        <f t="shared" si="13"/>
        <v>28</v>
      </c>
      <c r="P136" s="94">
        <v>128</v>
      </c>
      <c r="Q136" s="90" t="str">
        <f t="shared" si="14"/>
        <v>c16</v>
      </c>
      <c r="R136" s="90" t="str">
        <f t="shared" si="15"/>
        <v>b10</v>
      </c>
      <c r="S136" s="90"/>
    </row>
    <row r="137" spans="1:19" ht="18" customHeight="1">
      <c r="A137" s="84">
        <v>129</v>
      </c>
      <c r="B137" s="96" t="s">
        <v>233</v>
      </c>
      <c r="C137" s="85" t="s">
        <v>290</v>
      </c>
      <c r="D137" s="86" t="s">
        <v>234</v>
      </c>
      <c r="E137" s="87">
        <v>6387</v>
      </c>
      <c r="F137" s="84" t="s">
        <v>355</v>
      </c>
      <c r="G137" s="84">
        <v>11</v>
      </c>
      <c r="H137" s="88">
        <f>IF($G137="","",INDEX('1. závod'!$A:$CM,$G137+3,INDEX('Základní list'!$B:$B,MATCH($F137,'Základní list'!$A:$A,0),1)))</f>
        <v>2730</v>
      </c>
      <c r="I137" s="89">
        <f>IF($G137="","",INDEX('1. závod'!$A:$CL,$G137+3,INDEX('Základní list'!$B:$B,MATCH($F137,'Základní list'!$A:$A,0),1)+2))</f>
        <v>15</v>
      </c>
      <c r="J137" s="84" t="s">
        <v>355</v>
      </c>
      <c r="K137" s="84">
        <v>11</v>
      </c>
      <c r="L137" s="88">
        <f>IF($K137="","",INDEX('2. závod'!$A:$CM,$K137+3,INDEX('Základní list'!$B:$B,MATCH($J137,'Základní list'!$A:$A,0),1)))</f>
        <v>1560</v>
      </c>
      <c r="M137" s="89">
        <f>IF($K137="","",INDEX('2. závod'!$A:$CM,$K137+3,INDEX('Základní list'!$B:$B,MATCH($J137,'Základní list'!$A:$A,0),1)+2))</f>
        <v>13</v>
      </c>
      <c r="N137" s="88">
        <f aca="true" t="shared" si="16" ref="N137:N148">IF($K137="","",SUM(H137,L137))</f>
        <v>4290</v>
      </c>
      <c r="O137" s="89">
        <f aca="true" t="shared" si="17" ref="O137:O148">IF($K137="","",SUM(I137,M137))</f>
        <v>28</v>
      </c>
      <c r="P137" s="94">
        <v>129</v>
      </c>
      <c r="Q137" s="90" t="str">
        <f aca="true" t="shared" si="18" ref="Q137:Q148">CONCATENATE(F137,G137)</f>
        <v>e11</v>
      </c>
      <c r="R137" s="90" t="str">
        <f aca="true" t="shared" si="19" ref="R137:R148">CONCATENATE(J137,K137)</f>
        <v>e11</v>
      </c>
      <c r="S137" s="90"/>
    </row>
    <row r="138" spans="1:19" ht="18" customHeight="1">
      <c r="A138" s="84">
        <v>130</v>
      </c>
      <c r="B138" s="172" t="s">
        <v>208</v>
      </c>
      <c r="C138" s="85" t="s">
        <v>53</v>
      </c>
      <c r="D138" s="86" t="s">
        <v>131</v>
      </c>
      <c r="E138" s="87">
        <v>3435</v>
      </c>
      <c r="F138" s="84" t="s">
        <v>354</v>
      </c>
      <c r="G138" s="84">
        <v>8</v>
      </c>
      <c r="H138" s="88">
        <f>IF($G138="","",INDEX('1. závod'!$A:$CM,$G138+3,INDEX('Základní list'!$B:$B,MATCH($F138,'Základní list'!$A:$A,0),1)))</f>
        <v>8020</v>
      </c>
      <c r="I138" s="89">
        <f>IF($G138="","",INDEX('1. závod'!$A:$CL,$G138+3,INDEX('Základní list'!$B:$B,MATCH($F138,'Základní list'!$A:$A,0),1)+2))</f>
        <v>14</v>
      </c>
      <c r="J138" s="84" t="s">
        <v>353</v>
      </c>
      <c r="K138" s="84">
        <v>15</v>
      </c>
      <c r="L138" s="88">
        <f>IF($K138="","",INDEX('2. závod'!$A:$CM,$K138+3,INDEX('Základní list'!$B:$B,MATCH($J138,'Základní list'!$A:$A,0),1)))</f>
        <v>1760</v>
      </c>
      <c r="M138" s="89">
        <f>IF($K138="","",INDEX('2. závod'!$A:$CM,$K138+3,INDEX('Základní list'!$B:$B,MATCH($J138,'Základní list'!$A:$A,0),1)+2))</f>
        <v>15</v>
      </c>
      <c r="N138" s="88">
        <f t="shared" si="16"/>
        <v>9780</v>
      </c>
      <c r="O138" s="89">
        <f t="shared" si="17"/>
        <v>29</v>
      </c>
      <c r="P138" s="94">
        <v>130</v>
      </c>
      <c r="Q138" s="90" t="str">
        <f t="shared" si="18"/>
        <v>i8</v>
      </c>
      <c r="R138" s="90" t="str">
        <f t="shared" si="19"/>
        <v>f15</v>
      </c>
      <c r="S138" s="90"/>
    </row>
    <row r="139" spans="1:19" ht="18" customHeight="1">
      <c r="A139" s="84">
        <v>131</v>
      </c>
      <c r="B139" s="172" t="s">
        <v>123</v>
      </c>
      <c r="C139" s="85" t="s">
        <v>53</v>
      </c>
      <c r="D139" s="86" t="s">
        <v>124</v>
      </c>
      <c r="E139" s="87">
        <v>4334</v>
      </c>
      <c r="F139" s="84" t="s">
        <v>359</v>
      </c>
      <c r="G139" s="84">
        <v>8</v>
      </c>
      <c r="H139" s="88">
        <f>IF($G139="","",INDEX('1. závod'!$A:$CM,$G139+3,INDEX('Základní list'!$B:$B,MATCH($F139,'Základní list'!$A:$A,0),1)))</f>
        <v>1130</v>
      </c>
      <c r="I139" s="89">
        <f>IF($G139="","",INDEX('1. závod'!$A:$CL,$G139+3,INDEX('Základní list'!$B:$B,MATCH($F139,'Základní list'!$A:$A,0),1)+2))</f>
        <v>15</v>
      </c>
      <c r="J139" s="84" t="s">
        <v>352</v>
      </c>
      <c r="K139" s="84">
        <v>15</v>
      </c>
      <c r="L139" s="88">
        <f>IF($K139="","",INDEX('2. závod'!$A:$CM,$K139+3,INDEX('Základní list'!$B:$B,MATCH($J139,'Základní list'!$A:$A,0),1)))</f>
        <v>5670</v>
      </c>
      <c r="M139" s="89">
        <f>IF($K139="","",INDEX('2. závod'!$A:$CM,$K139+3,INDEX('Základní list'!$B:$B,MATCH($J139,'Základní list'!$A:$A,0),1)+2))</f>
        <v>14</v>
      </c>
      <c r="N139" s="88">
        <f t="shared" si="16"/>
        <v>6800</v>
      </c>
      <c r="O139" s="89">
        <f t="shared" si="17"/>
        <v>29</v>
      </c>
      <c r="P139" s="94">
        <v>131</v>
      </c>
      <c r="Q139" s="90" t="str">
        <f t="shared" si="18"/>
        <v>d8</v>
      </c>
      <c r="R139" s="90" t="str">
        <f t="shared" si="19"/>
        <v>g15</v>
      </c>
      <c r="S139" s="90"/>
    </row>
    <row r="140" spans="1:19" ht="18" customHeight="1">
      <c r="A140" s="84">
        <v>132</v>
      </c>
      <c r="B140" s="96" t="s">
        <v>289</v>
      </c>
      <c r="C140" s="85" t="s">
        <v>290</v>
      </c>
      <c r="D140" s="86" t="s">
        <v>262</v>
      </c>
      <c r="E140" s="87">
        <v>7048</v>
      </c>
      <c r="F140" s="84" t="s">
        <v>355</v>
      </c>
      <c r="G140" s="84">
        <v>3</v>
      </c>
      <c r="H140" s="88">
        <f>IF($G140="","",INDEX('1. závod'!$A:$CM,$G140+3,INDEX('Základní list'!$B:$B,MATCH($F140,'Základní list'!$A:$A,0),1)))</f>
        <v>450</v>
      </c>
      <c r="I140" s="89">
        <f>IF($G140="","",INDEX('1. závod'!$A:$CL,$G140+3,INDEX('Základní list'!$B:$B,MATCH($F140,'Základní list'!$A:$A,0),1)+2))</f>
        <v>16</v>
      </c>
      <c r="J140" s="84" t="s">
        <v>358</v>
      </c>
      <c r="K140" s="84">
        <v>6</v>
      </c>
      <c r="L140" s="88">
        <f>IF($K140="","",INDEX('2. závod'!$A:$CM,$K140+3,INDEX('Základní list'!$B:$B,MATCH($J140,'Základní list'!$A:$A,0),1)))</f>
        <v>2690</v>
      </c>
      <c r="M140" s="89">
        <f>IF($K140="","",INDEX('2. závod'!$A:$CM,$K140+3,INDEX('Základní list'!$B:$B,MATCH($J140,'Základní list'!$A:$A,0),1)+2))</f>
        <v>13</v>
      </c>
      <c r="N140" s="88">
        <f t="shared" si="16"/>
        <v>3140</v>
      </c>
      <c r="O140" s="89">
        <f t="shared" si="17"/>
        <v>29</v>
      </c>
      <c r="P140" s="94">
        <v>132</v>
      </c>
      <c r="Q140" s="90" t="str">
        <f t="shared" si="18"/>
        <v>e3</v>
      </c>
      <c r="R140" s="90" t="str">
        <f t="shared" si="19"/>
        <v>h6</v>
      </c>
      <c r="S140" s="90"/>
    </row>
    <row r="141" spans="1:19" ht="18" customHeight="1">
      <c r="A141" s="84">
        <v>133</v>
      </c>
      <c r="B141" s="171" t="s">
        <v>224</v>
      </c>
      <c r="C141" s="85" t="s">
        <v>236</v>
      </c>
      <c r="D141" s="86" t="s">
        <v>124</v>
      </c>
      <c r="E141" s="87">
        <v>4302</v>
      </c>
      <c r="F141" s="84" t="s">
        <v>352</v>
      </c>
      <c r="G141" s="84">
        <v>8</v>
      </c>
      <c r="H141" s="88">
        <f>IF($G141="","",INDEX('1. závod'!$A:$CM,$G141+3,INDEX('Základní list'!$B:$B,MATCH($F141,'Základní list'!$A:$A,0),1)))</f>
        <v>1610</v>
      </c>
      <c r="I141" s="89">
        <f>IF($G141="","",INDEX('1. závod'!$A:$CL,$G141+3,INDEX('Základní list'!$B:$B,MATCH($F141,'Základní list'!$A:$A,0),1)+2))</f>
        <v>15</v>
      </c>
      <c r="J141" s="84" t="s">
        <v>355</v>
      </c>
      <c r="K141" s="84">
        <v>7</v>
      </c>
      <c r="L141" s="88">
        <f>IF($K141="","",INDEX('2. závod'!$A:$CM,$K141+3,INDEX('Základní list'!$B:$B,MATCH($J141,'Základní list'!$A:$A,0),1)))</f>
        <v>1220</v>
      </c>
      <c r="M141" s="89">
        <f>IF($K141="","",INDEX('2. závod'!$A:$CM,$K141+3,INDEX('Základní list'!$B:$B,MATCH($J141,'Základní list'!$A:$A,0),1)+2))</f>
        <v>14</v>
      </c>
      <c r="N141" s="88">
        <f t="shared" si="16"/>
        <v>2830</v>
      </c>
      <c r="O141" s="89">
        <f t="shared" si="17"/>
        <v>29</v>
      </c>
      <c r="P141" s="94">
        <v>133</v>
      </c>
      <c r="Q141" s="90" t="str">
        <f t="shared" si="18"/>
        <v>g8</v>
      </c>
      <c r="R141" s="90" t="str">
        <f t="shared" si="19"/>
        <v>e7</v>
      </c>
      <c r="S141" s="90"/>
    </row>
    <row r="142" spans="1:19" ht="18" customHeight="1">
      <c r="A142" s="84">
        <v>134</v>
      </c>
      <c r="B142" s="96" t="s">
        <v>263</v>
      </c>
      <c r="C142" s="85" t="s">
        <v>56</v>
      </c>
      <c r="D142" s="86" t="s">
        <v>262</v>
      </c>
      <c r="E142" s="87">
        <v>5073</v>
      </c>
      <c r="F142" s="84" t="s">
        <v>359</v>
      </c>
      <c r="G142" s="84">
        <v>6</v>
      </c>
      <c r="H142" s="88">
        <f>IF($G142="","",INDEX('1. závod'!$A:$CM,$G142+3,INDEX('Základní list'!$B:$B,MATCH($F142,'Základní list'!$A:$A,0),1)))</f>
        <v>1800</v>
      </c>
      <c r="I142" s="89">
        <f>IF($G142="","",INDEX('1. závod'!$A:$CL,$G142+3,INDEX('Základní list'!$B:$B,MATCH($F142,'Základní list'!$A:$A,0),1)+2))</f>
        <v>14</v>
      </c>
      <c r="J142" s="84" t="s">
        <v>358</v>
      </c>
      <c r="K142" s="84">
        <v>2</v>
      </c>
      <c r="L142" s="88">
        <f>IF($K142="","",INDEX('2. závod'!$A:$CM,$K142+3,INDEX('Základní list'!$B:$B,MATCH($J142,'Základní list'!$A:$A,0),1)))</f>
        <v>390</v>
      </c>
      <c r="M142" s="89">
        <f>IF($K142="","",INDEX('2. závod'!$A:$CM,$K142+3,INDEX('Základní list'!$B:$B,MATCH($J142,'Základní list'!$A:$A,0),1)+2))</f>
        <v>15</v>
      </c>
      <c r="N142" s="88">
        <f t="shared" si="16"/>
        <v>2190</v>
      </c>
      <c r="O142" s="89">
        <f t="shared" si="17"/>
        <v>29</v>
      </c>
      <c r="P142" s="94">
        <v>134</v>
      </c>
      <c r="Q142" s="90" t="str">
        <f t="shared" si="18"/>
        <v>d6</v>
      </c>
      <c r="R142" s="90" t="str">
        <f t="shared" si="19"/>
        <v>h2</v>
      </c>
      <c r="S142" s="90"/>
    </row>
    <row r="143" spans="1:19" ht="18" customHeight="1">
      <c r="A143" s="84">
        <v>135</v>
      </c>
      <c r="B143" s="172" t="s">
        <v>148</v>
      </c>
      <c r="C143" s="85" t="s">
        <v>57</v>
      </c>
      <c r="D143" s="86" t="s">
        <v>146</v>
      </c>
      <c r="E143" s="87">
        <v>6777</v>
      </c>
      <c r="F143" s="84" t="s">
        <v>353</v>
      </c>
      <c r="G143" s="84">
        <v>12</v>
      </c>
      <c r="H143" s="88">
        <f>IF($G143="","",INDEX('1. závod'!$A:$CM,$G143+3,INDEX('Základní list'!$B:$B,MATCH($F143,'Základní list'!$A:$A,0),1)))</f>
        <v>2220</v>
      </c>
      <c r="I143" s="89">
        <f>IF($G143="","",INDEX('1. závod'!$A:$CL,$G143+3,INDEX('Základní list'!$B:$B,MATCH($F143,'Základní list'!$A:$A,0),1)+2))</f>
        <v>15.5</v>
      </c>
      <c r="J143" s="84" t="s">
        <v>357</v>
      </c>
      <c r="K143" s="84">
        <v>12</v>
      </c>
      <c r="L143" s="88">
        <f>IF($K143="","",INDEX('2. závod'!$A:$CM,$K143+3,INDEX('Základní list'!$B:$B,MATCH($J143,'Základní list'!$A:$A,0),1)))</f>
        <v>2340</v>
      </c>
      <c r="M143" s="89">
        <f>IF($K143="","",INDEX('2. závod'!$A:$CM,$K143+3,INDEX('Základní list'!$B:$B,MATCH($J143,'Základní list'!$A:$A,0),1)+2))</f>
        <v>14</v>
      </c>
      <c r="N143" s="88">
        <f t="shared" si="16"/>
        <v>4560</v>
      </c>
      <c r="O143" s="89">
        <f t="shared" si="17"/>
        <v>29.5</v>
      </c>
      <c r="P143" s="94">
        <v>135</v>
      </c>
      <c r="Q143" s="90" t="str">
        <f t="shared" si="18"/>
        <v>f12</v>
      </c>
      <c r="R143" s="90" t="str">
        <f t="shared" si="19"/>
        <v>c12</v>
      </c>
      <c r="S143" s="90"/>
    </row>
    <row r="144" spans="1:19" ht="18" customHeight="1">
      <c r="A144" s="84">
        <v>136</v>
      </c>
      <c r="B144" s="172" t="s">
        <v>125</v>
      </c>
      <c r="C144" s="85" t="s">
        <v>53</v>
      </c>
      <c r="D144" s="86" t="s">
        <v>124</v>
      </c>
      <c r="E144" s="87">
        <v>4014</v>
      </c>
      <c r="F144" s="84" t="s">
        <v>356</v>
      </c>
      <c r="G144" s="84">
        <v>10</v>
      </c>
      <c r="H144" s="88">
        <f>IF($G144="","",INDEX('1. závod'!$A:$CM,$G144+3,INDEX('Základní list'!$B:$B,MATCH($F144,'Základní list'!$A:$A,0),1)))</f>
        <v>685</v>
      </c>
      <c r="I144" s="89">
        <f>IF($G144="","",INDEX('1. závod'!$A:$CL,$G144+3,INDEX('Základní list'!$B:$B,MATCH($F144,'Základní list'!$A:$A,0),1)+2))</f>
        <v>15</v>
      </c>
      <c r="J144" s="84" t="s">
        <v>357</v>
      </c>
      <c r="K144" s="84">
        <v>9</v>
      </c>
      <c r="L144" s="88">
        <f>IF($K144="","",INDEX('2. závod'!$A:$CM,$K144+3,INDEX('Základní list'!$B:$B,MATCH($J144,'Základní list'!$A:$A,0),1)))</f>
        <v>10</v>
      </c>
      <c r="M144" s="89">
        <f>IF($K144="","",INDEX('2. závod'!$A:$CM,$K144+3,INDEX('Základní list'!$B:$B,MATCH($J144,'Základní list'!$A:$A,0),1)+2))</f>
        <v>15</v>
      </c>
      <c r="N144" s="88">
        <f t="shared" si="16"/>
        <v>695</v>
      </c>
      <c r="O144" s="89">
        <f t="shared" si="17"/>
        <v>30</v>
      </c>
      <c r="P144" s="94">
        <v>136</v>
      </c>
      <c r="Q144" s="90" t="str">
        <f t="shared" si="18"/>
        <v>a10</v>
      </c>
      <c r="R144" s="90" t="str">
        <f t="shared" si="19"/>
        <v>c9</v>
      </c>
      <c r="S144" s="90"/>
    </row>
    <row r="145" spans="1:19" ht="18" customHeight="1">
      <c r="A145" s="84">
        <v>137</v>
      </c>
      <c r="B145" s="96" t="s">
        <v>306</v>
      </c>
      <c r="C145" s="85" t="s">
        <v>53</v>
      </c>
      <c r="D145" s="86" t="s">
        <v>257</v>
      </c>
      <c r="E145" s="87">
        <v>6698</v>
      </c>
      <c r="F145" s="84" t="s">
        <v>353</v>
      </c>
      <c r="G145" s="84">
        <v>16</v>
      </c>
      <c r="H145" s="88">
        <f>IF($G145="","",INDEX('1. závod'!$A:$CM,$G145+3,INDEX('Základní list'!$B:$B,MATCH($F145,'Základní list'!$A:$A,0),1)))</f>
        <v>2220</v>
      </c>
      <c r="I145" s="89">
        <f>IF($G145="","",INDEX('1. závod'!$A:$CL,$G145+3,INDEX('Základní list'!$B:$B,MATCH($F145,'Základní list'!$A:$A,0),1)+2))</f>
        <v>15.5</v>
      </c>
      <c r="J145" s="84" t="s">
        <v>354</v>
      </c>
      <c r="K145" s="101">
        <v>3</v>
      </c>
      <c r="L145" s="88">
        <f>IF($K145="","",INDEX('2. závod'!$A:$CM,$K145+3,INDEX('Základní list'!$B:$B,MATCH($J145,'Základní list'!$A:$A,0),1)))</f>
        <v>4900</v>
      </c>
      <c r="M145" s="89">
        <f>IF($K145="","",INDEX('2. závod'!$A:$CM,$K145+3,INDEX('Základní list'!$B:$B,MATCH($J145,'Základní list'!$A:$A,0),1)+2))</f>
        <v>15</v>
      </c>
      <c r="N145" s="88">
        <f t="shared" si="16"/>
        <v>7120</v>
      </c>
      <c r="O145" s="89">
        <f t="shared" si="17"/>
        <v>30.5</v>
      </c>
      <c r="P145" s="94">
        <v>137</v>
      </c>
      <c r="Q145" s="90" t="str">
        <f t="shared" si="18"/>
        <v>f16</v>
      </c>
      <c r="R145" s="90" t="str">
        <f t="shared" si="19"/>
        <v>i3</v>
      </c>
      <c r="S145" s="90"/>
    </row>
    <row r="146" spans="1:19" ht="18" customHeight="1">
      <c r="A146" s="84">
        <v>138</v>
      </c>
      <c r="B146" s="96" t="s">
        <v>291</v>
      </c>
      <c r="C146" s="85" t="s">
        <v>53</v>
      </c>
      <c r="D146" s="86" t="s">
        <v>262</v>
      </c>
      <c r="E146" s="87">
        <v>5074</v>
      </c>
      <c r="F146" s="84" t="s">
        <v>351</v>
      </c>
      <c r="G146" s="84">
        <v>7</v>
      </c>
      <c r="H146" s="88">
        <f>IF($G146="","",INDEX('1. závod'!$A:$CM,$G146+3,INDEX('Základní list'!$B:$B,MATCH($F146,'Základní list'!$A:$A,0),1)))</f>
        <v>2580</v>
      </c>
      <c r="I146" s="89">
        <f>IF($G146="","",INDEX('1. závod'!$A:$CL,$G146+3,INDEX('Základní list'!$B:$B,MATCH($F146,'Základní list'!$A:$A,0),1)+2))</f>
        <v>15</v>
      </c>
      <c r="J146" s="84" t="s">
        <v>352</v>
      </c>
      <c r="K146" s="168">
        <v>4</v>
      </c>
      <c r="L146" s="88">
        <f>IF($K146="","",INDEX('2. závod'!$A:$CM,$K146+3,INDEX('Základní list'!$B:$B,MATCH($J146,'Základní list'!$A:$A,0),1)))</f>
        <v>1430</v>
      </c>
      <c r="M146" s="89">
        <f>IF($K146="","",INDEX('2. závod'!$A:$CM,$K146+3,INDEX('Základní list'!$B:$B,MATCH($J146,'Základní list'!$A:$A,0),1)+2))</f>
        <v>16</v>
      </c>
      <c r="N146" s="88">
        <f t="shared" si="16"/>
        <v>4010</v>
      </c>
      <c r="O146" s="89">
        <f t="shared" si="17"/>
        <v>31</v>
      </c>
      <c r="P146" s="94">
        <v>138</v>
      </c>
      <c r="Q146" s="90" t="str">
        <f t="shared" si="18"/>
        <v>b7</v>
      </c>
      <c r="R146" s="90" t="str">
        <f t="shared" si="19"/>
        <v>g4</v>
      </c>
      <c r="S146" s="90"/>
    </row>
    <row r="147" spans="1:19" ht="18" customHeight="1">
      <c r="A147" s="84">
        <v>139</v>
      </c>
      <c r="B147" s="96" t="s">
        <v>264</v>
      </c>
      <c r="C147" s="85" t="s">
        <v>57</v>
      </c>
      <c r="D147" s="86" t="s">
        <v>262</v>
      </c>
      <c r="E147" s="87">
        <v>7003</v>
      </c>
      <c r="F147" s="84" t="s">
        <v>352</v>
      </c>
      <c r="G147" s="84">
        <v>5</v>
      </c>
      <c r="H147" s="88">
        <f>IF($G147="","",INDEX('1. závod'!$A:$CM,$G147+3,INDEX('Základní list'!$B:$B,MATCH($F147,'Základní list'!$A:$A,0),1)))</f>
        <v>1500</v>
      </c>
      <c r="I147" s="89">
        <f>IF($G147="","",INDEX('1. závod'!$A:$CL,$G147+3,INDEX('Základní list'!$B:$B,MATCH($F147,'Základní list'!$A:$A,0),1)+2))</f>
        <v>16</v>
      </c>
      <c r="J147" s="84" t="s">
        <v>353</v>
      </c>
      <c r="K147" s="84">
        <v>14</v>
      </c>
      <c r="L147" s="88">
        <f>IF($K147="","",INDEX('2. závod'!$A:$CM,$K147+3,INDEX('Základní list'!$B:$B,MATCH($J147,'Základní list'!$A:$A,0),1)))</f>
        <v>750</v>
      </c>
      <c r="M147" s="89">
        <f>IF($K147="","",INDEX('2. závod'!$A:$CM,$K147+3,INDEX('Základní list'!$B:$B,MATCH($J147,'Základní list'!$A:$A,0),1)+2))</f>
        <v>16</v>
      </c>
      <c r="N147" s="88">
        <f t="shared" si="16"/>
        <v>2250</v>
      </c>
      <c r="O147" s="89">
        <f t="shared" si="17"/>
        <v>32</v>
      </c>
      <c r="P147" s="94">
        <v>139</v>
      </c>
      <c r="Q147" s="90" t="str">
        <f t="shared" si="18"/>
        <v>g5</v>
      </c>
      <c r="R147" s="90" t="str">
        <f t="shared" si="19"/>
        <v>f14</v>
      </c>
      <c r="S147" s="90"/>
    </row>
    <row r="148" spans="1:19" ht="18" customHeight="1">
      <c r="A148" s="84">
        <v>140</v>
      </c>
      <c r="B148" s="96" t="s">
        <v>360</v>
      </c>
      <c r="C148" s="85" t="s">
        <v>53</v>
      </c>
      <c r="D148" s="86" t="s">
        <v>292</v>
      </c>
      <c r="E148" s="87">
        <v>1010</v>
      </c>
      <c r="F148" s="84" t="s">
        <v>359</v>
      </c>
      <c r="G148" s="84">
        <v>9</v>
      </c>
      <c r="H148" s="88">
        <f>IF($G148="","",INDEX('1. závod'!$A:$CM,$G148+3,INDEX('Základní list'!$B:$B,MATCH($F148,'Základní list'!$A:$A,0),1)))</f>
        <v>0</v>
      </c>
      <c r="I148" s="89">
        <f>IF($G148="","",INDEX('1. závod'!$A:$CL,$G148+3,INDEX('Základní list'!$B:$B,MATCH($F148,'Základní list'!$A:$A,0),1)+2))</f>
        <v>16</v>
      </c>
      <c r="J148" s="84" t="s">
        <v>358</v>
      </c>
      <c r="K148" s="84">
        <v>3</v>
      </c>
      <c r="L148" s="88">
        <f>IF($K148="","",INDEX('2. závod'!$A:$CM,$K148+3,INDEX('Základní list'!$B:$B,MATCH($J148,'Základní list'!$A:$A,0),1)))</f>
        <v>0</v>
      </c>
      <c r="M148" s="89">
        <f>IF($K148="","",INDEX('2. závod'!$A:$CM,$K148+3,INDEX('Základní list'!$B:$B,MATCH($J148,'Základní list'!$A:$A,0),1)+2))</f>
        <v>16</v>
      </c>
      <c r="N148" s="88">
        <f t="shared" si="16"/>
        <v>0</v>
      </c>
      <c r="O148" s="89">
        <f t="shared" si="17"/>
        <v>32</v>
      </c>
      <c r="P148" s="94">
        <v>140</v>
      </c>
      <c r="Q148" s="90" t="str">
        <f t="shared" si="18"/>
        <v>d9</v>
      </c>
      <c r="R148" s="90" t="str">
        <f t="shared" si="19"/>
        <v>h3</v>
      </c>
      <c r="S148" s="90"/>
    </row>
    <row r="149" spans="1:16" ht="12.75" collapsed="1">
      <c r="A149" s="91"/>
      <c r="B149" s="173"/>
      <c r="C149" s="91"/>
      <c r="D149" s="91"/>
      <c r="E149" s="91"/>
      <c r="F149" s="91"/>
      <c r="G149" s="91"/>
      <c r="H149" s="92"/>
      <c r="I149" s="91"/>
      <c r="J149" s="91"/>
      <c r="K149" s="91"/>
      <c r="L149" s="92"/>
      <c r="M149" s="91"/>
      <c r="N149" s="92"/>
      <c r="O149" s="91"/>
      <c r="P149" s="91"/>
    </row>
    <row r="150" spans="1:16" ht="12.75">
      <c r="A150" s="375" t="s">
        <v>12</v>
      </c>
      <c r="B150" s="375"/>
      <c r="C150" s="375"/>
      <c r="D150" s="375" t="s">
        <v>31</v>
      </c>
      <c r="E150" s="375"/>
      <c r="F150" s="375"/>
      <c r="G150" s="375"/>
      <c r="H150" s="375"/>
      <c r="I150" s="93"/>
      <c r="J150" s="93"/>
      <c r="K150" s="93"/>
      <c r="L150" s="93"/>
      <c r="M150" s="376" t="s">
        <v>18</v>
      </c>
      <c r="N150" s="376"/>
      <c r="O150" s="376"/>
      <c r="P150" s="376"/>
    </row>
  </sheetData>
  <sheetProtection formatCells="0" formatColumns="0" formatRows="0" sort="0" autoFilter="0"/>
  <mergeCells count="26">
    <mergeCell ref="R6:R8"/>
    <mergeCell ref="F7:G7"/>
    <mergeCell ref="P7:P8"/>
    <mergeCell ref="O7:O8"/>
    <mergeCell ref="Q6:Q8"/>
    <mergeCell ref="M150:P150"/>
    <mergeCell ref="A150:C150"/>
    <mergeCell ref="D150:H150"/>
    <mergeCell ref="J7:K7"/>
    <mergeCell ref="N7:N8"/>
    <mergeCell ref="M7:M8"/>
    <mergeCell ref="L7:L8"/>
    <mergeCell ref="H7:H8"/>
    <mergeCell ref="I7:I8"/>
    <mergeCell ref="B6:E7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J4:P4"/>
  </mergeCells>
  <conditionalFormatting sqref="P9:P148">
    <cfRule type="cellIs" priority="1" dxfId="0" operator="between" stopIfTrue="1">
      <formula>1</formula>
      <formula>3</formula>
    </cfRule>
  </conditionalFormatting>
  <printOptions horizontalCentered="1"/>
  <pageMargins left="0.2362204724409449" right="0.1968503937007874" top="0.2362204724409449" bottom="0.35433070866141736" header="0.2362204724409449" footer="0.1968503937007874"/>
  <pageSetup cellComments="asDisplayed" fitToHeight="0" fitToWidth="1" horizontalDpi="300" verticalDpi="300" orientation="portrait" paperSize="9" scale="70" r:id="rId1"/>
  <headerFooter alignWithMargins="0">
    <oddFooter>&amp;CStránka &amp;P z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80" zoomScaleNormal="50" zoomScaleSheetLayoutView="8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"/>
    </sheetView>
  </sheetViews>
  <sheetFormatPr defaultColWidth="5.25390625" defaultRowHeight="12.75" outlineLevelCol="1"/>
  <cols>
    <col min="1" max="1" width="6.625" style="214" customWidth="1"/>
    <col min="2" max="2" width="37.00390625" style="8" customWidth="1"/>
    <col min="3" max="3" width="15.375" style="27" customWidth="1"/>
    <col min="4" max="4" width="4.00390625" style="27" hidden="1" customWidth="1"/>
    <col min="5" max="5" width="8.00390625" style="3" customWidth="1"/>
    <col min="6" max="6" width="21.00390625" style="3" customWidth="1"/>
    <col min="7" max="7" width="37.00390625" style="8" customWidth="1"/>
    <col min="8" max="8" width="15.375" style="27" customWidth="1"/>
    <col min="9" max="9" width="4.00390625" style="27" hidden="1" customWidth="1"/>
    <col min="10" max="10" width="8.00390625" style="3" customWidth="1"/>
    <col min="11" max="11" width="22.00390625" style="3" customWidth="1"/>
    <col min="12" max="12" width="37.00390625" style="8" customWidth="1"/>
    <col min="13" max="13" width="15.375" style="27" customWidth="1"/>
    <col min="14" max="14" width="4.00390625" style="27" hidden="1" customWidth="1"/>
    <col min="15" max="15" width="8.00390625" style="3" customWidth="1"/>
    <col min="16" max="16" width="22.00390625" style="3" customWidth="1"/>
    <col min="17" max="17" width="37.00390625" style="8" customWidth="1"/>
    <col min="18" max="18" width="15.375" style="27" customWidth="1"/>
    <col min="19" max="19" width="4.00390625" style="27" hidden="1" customWidth="1"/>
    <col min="20" max="20" width="8.00390625" style="3" customWidth="1"/>
    <col min="21" max="21" width="22.00390625" style="3" customWidth="1"/>
    <col min="22" max="22" width="37.00390625" style="8" customWidth="1"/>
    <col min="23" max="23" width="15.375" style="27" customWidth="1"/>
    <col min="24" max="24" width="4.00390625" style="27" hidden="1" customWidth="1"/>
    <col min="25" max="25" width="8.00390625" style="3" customWidth="1"/>
    <col min="26" max="26" width="22.00390625" style="3" customWidth="1"/>
    <col min="27" max="27" width="37.00390625" style="8" customWidth="1"/>
    <col min="28" max="28" width="15.375" style="27" customWidth="1"/>
    <col min="29" max="29" width="4.00390625" style="27" hidden="1" customWidth="1"/>
    <col min="30" max="30" width="8.00390625" style="3" customWidth="1"/>
    <col min="31" max="31" width="22.00390625" style="3" customWidth="1"/>
    <col min="32" max="32" width="37.00390625" style="8" customWidth="1" outlineLevel="1"/>
    <col min="33" max="33" width="15.375" style="27" customWidth="1" outlineLevel="1"/>
    <col min="34" max="34" width="4.00390625" style="27" hidden="1" customWidth="1" outlineLevel="1"/>
    <col min="35" max="35" width="8.00390625" style="3" customWidth="1" outlineLevel="1"/>
    <col min="36" max="36" width="22.00390625" style="3" customWidth="1" outlineLevel="1"/>
    <col min="37" max="37" width="37.00390625" style="8" customWidth="1" outlineLevel="1"/>
    <col min="38" max="38" width="15.375" style="27" customWidth="1" outlineLevel="1"/>
    <col min="39" max="39" width="4.00390625" style="27" hidden="1" customWidth="1" outlineLevel="1"/>
    <col min="40" max="40" width="8.00390625" style="3" customWidth="1" outlineLevel="1"/>
    <col min="41" max="41" width="22.00390625" style="3" customWidth="1" outlineLevel="1"/>
    <col min="42" max="42" width="37.00390625" style="8" customWidth="1" outlineLevel="1"/>
    <col min="43" max="43" width="15.375" style="27" customWidth="1" outlineLevel="1"/>
    <col min="44" max="44" width="4.00390625" style="27" hidden="1" customWidth="1" outlineLevel="1"/>
    <col min="45" max="45" width="8.00390625" style="3" customWidth="1" outlineLevel="1"/>
    <col min="46" max="46" width="22.00390625" style="3" customWidth="1" outlineLevel="1"/>
    <col min="47" max="47" width="37.00390625" style="8" customWidth="1" outlineLevel="1"/>
    <col min="48" max="48" width="15.375" style="27" customWidth="1" outlineLevel="1"/>
    <col min="49" max="49" width="4.00390625" style="27" hidden="1" customWidth="1" outlineLevel="1"/>
    <col min="50" max="50" width="8.00390625" style="3" customWidth="1" outlineLevel="1"/>
    <col min="51" max="51" width="22.00390625" style="3" customWidth="1" outlineLevel="1"/>
    <col min="52" max="52" width="37.00390625" style="8" customWidth="1" outlineLevel="1"/>
    <col min="53" max="53" width="15.375" style="27" customWidth="1" outlineLevel="1"/>
    <col min="54" max="54" width="4.00390625" style="27" hidden="1" customWidth="1" outlineLevel="1"/>
    <col min="55" max="55" width="8.00390625" style="3" customWidth="1" outlineLevel="1"/>
    <col min="56" max="56" width="22.00390625" style="3" customWidth="1" outlineLevel="1"/>
    <col min="57" max="57" width="37.00390625" style="8" customWidth="1" outlineLevel="1"/>
    <col min="58" max="58" width="15.375" style="27" customWidth="1" outlineLevel="1"/>
    <col min="59" max="59" width="4.00390625" style="27" hidden="1" customWidth="1" outlineLevel="1"/>
    <col min="60" max="60" width="8.00390625" style="3" customWidth="1" outlineLevel="1"/>
    <col min="61" max="61" width="22.00390625" style="3" customWidth="1" outlineLevel="1"/>
    <col min="62" max="62" width="37.00390625" style="8" customWidth="1" outlineLevel="1"/>
    <col min="63" max="63" width="15.375" style="27" customWidth="1" outlineLevel="1"/>
    <col min="64" max="64" width="4.00390625" style="27" hidden="1" customWidth="1" outlineLevel="1"/>
    <col min="65" max="65" width="8.00390625" style="3" customWidth="1" outlineLevel="1"/>
    <col min="66" max="66" width="22.00390625" style="175" customWidth="1"/>
    <col min="67" max="174" width="5.25390625" style="175" customWidth="1"/>
    <col min="175" max="16384" width="5.25390625" style="27" customWidth="1"/>
  </cols>
  <sheetData>
    <row r="1" spans="1:66" ht="16.5" customHeight="1">
      <c r="A1" s="400" t="s">
        <v>13</v>
      </c>
      <c r="B1" s="394" t="s">
        <v>29</v>
      </c>
      <c r="C1" s="395"/>
      <c r="D1" s="395"/>
      <c r="E1" s="395"/>
      <c r="F1" s="396"/>
      <c r="G1" s="394" t="s">
        <v>29</v>
      </c>
      <c r="H1" s="395"/>
      <c r="I1" s="395"/>
      <c r="J1" s="395"/>
      <c r="K1" s="396"/>
      <c r="L1" s="394" t="s">
        <v>29</v>
      </c>
      <c r="M1" s="395"/>
      <c r="N1" s="395"/>
      <c r="O1" s="395"/>
      <c r="P1" s="396"/>
      <c r="Q1" s="394" t="s">
        <v>29</v>
      </c>
      <c r="R1" s="395"/>
      <c r="S1" s="395"/>
      <c r="T1" s="395"/>
      <c r="U1" s="396"/>
      <c r="V1" s="394" t="s">
        <v>29</v>
      </c>
      <c r="W1" s="395"/>
      <c r="X1" s="395"/>
      <c r="Y1" s="395"/>
      <c r="Z1" s="396"/>
      <c r="AA1" s="394" t="s">
        <v>29</v>
      </c>
      <c r="AB1" s="395"/>
      <c r="AC1" s="395"/>
      <c r="AD1" s="395"/>
      <c r="AE1" s="396"/>
      <c r="AF1" s="394" t="s">
        <v>29</v>
      </c>
      <c r="AG1" s="395"/>
      <c r="AH1" s="395"/>
      <c r="AI1" s="395"/>
      <c r="AJ1" s="396"/>
      <c r="AK1" s="394" t="s">
        <v>29</v>
      </c>
      <c r="AL1" s="395"/>
      <c r="AM1" s="395"/>
      <c r="AN1" s="395"/>
      <c r="AO1" s="396"/>
      <c r="AP1" s="394" t="s">
        <v>29</v>
      </c>
      <c r="AQ1" s="395"/>
      <c r="AR1" s="395"/>
      <c r="AS1" s="395"/>
      <c r="AT1" s="396"/>
      <c r="AU1" s="394" t="s">
        <v>29</v>
      </c>
      <c r="AV1" s="395"/>
      <c r="AW1" s="395"/>
      <c r="AX1" s="395"/>
      <c r="AY1" s="396"/>
      <c r="AZ1" s="394" t="s">
        <v>29</v>
      </c>
      <c r="BA1" s="395"/>
      <c r="BB1" s="395"/>
      <c r="BC1" s="395"/>
      <c r="BD1" s="396"/>
      <c r="BE1" s="394" t="s">
        <v>29</v>
      </c>
      <c r="BF1" s="395"/>
      <c r="BG1" s="395"/>
      <c r="BH1" s="395"/>
      <c r="BI1" s="396"/>
      <c r="BJ1" s="394" t="s">
        <v>29</v>
      </c>
      <c r="BK1" s="395"/>
      <c r="BL1" s="395"/>
      <c r="BM1" s="395"/>
      <c r="BN1" s="396"/>
    </row>
    <row r="2" spans="1:174" s="3" customFormat="1" ht="16.5" customHeight="1" thickBot="1">
      <c r="A2" s="401"/>
      <c r="B2" s="397" t="str">
        <f>IF(ISBLANK('Základní list'!$A11),"",'Základní list'!$A11)</f>
        <v>A</v>
      </c>
      <c r="C2" s="398"/>
      <c r="D2" s="398"/>
      <c r="E2" s="398"/>
      <c r="F2" s="399"/>
      <c r="G2" s="397" t="str">
        <f>IF(ISBLANK('Základní list'!$A12),"",'Základní list'!$A12)</f>
        <v>B</v>
      </c>
      <c r="H2" s="398"/>
      <c r="I2" s="398"/>
      <c r="J2" s="398"/>
      <c r="K2" s="399"/>
      <c r="L2" s="397" t="str">
        <f>IF(ISBLANK('Základní list'!$A13),"",'Základní list'!$A13)</f>
        <v>C</v>
      </c>
      <c r="M2" s="398"/>
      <c r="N2" s="398"/>
      <c r="O2" s="398"/>
      <c r="P2" s="399"/>
      <c r="Q2" s="397" t="str">
        <f>IF(ISBLANK('Základní list'!$A14),"",'Základní list'!$A14)</f>
        <v>D</v>
      </c>
      <c r="R2" s="398"/>
      <c r="S2" s="398"/>
      <c r="T2" s="398"/>
      <c r="U2" s="399"/>
      <c r="V2" s="397" t="str">
        <f>IF(ISBLANK('Základní list'!$A15),"",'Základní list'!$A15)</f>
        <v>E</v>
      </c>
      <c r="W2" s="398"/>
      <c r="X2" s="398"/>
      <c r="Y2" s="398"/>
      <c r="Z2" s="399"/>
      <c r="AA2" s="397" t="str">
        <f>IF(ISBLANK('Základní list'!$A16),"",'Základní list'!$A16)</f>
        <v>F</v>
      </c>
      <c r="AB2" s="398"/>
      <c r="AC2" s="398"/>
      <c r="AD2" s="398"/>
      <c r="AE2" s="399"/>
      <c r="AF2" s="397" t="str">
        <f>IF(ISBLANK('Základní list'!$A17),"",'Základní list'!$A17)</f>
        <v>G</v>
      </c>
      <c r="AG2" s="398"/>
      <c r="AH2" s="398"/>
      <c r="AI2" s="398"/>
      <c r="AJ2" s="399"/>
      <c r="AK2" s="397" t="str">
        <f>IF(ISBLANK('Základní list'!$A18),"",'Základní list'!$A18)</f>
        <v>H</v>
      </c>
      <c r="AL2" s="398"/>
      <c r="AM2" s="398"/>
      <c r="AN2" s="398"/>
      <c r="AO2" s="399"/>
      <c r="AP2" s="397" t="str">
        <f>IF(ISBLANK('Základní list'!$A19),"",'Základní list'!$A19)</f>
        <v>I</v>
      </c>
      <c r="AQ2" s="398"/>
      <c r="AR2" s="398"/>
      <c r="AS2" s="398"/>
      <c r="AT2" s="399"/>
      <c r="AU2" s="397" t="str">
        <f>IF(ISBLANK('Základní list'!$A20),"",'Základní list'!$A20)</f>
        <v>J</v>
      </c>
      <c r="AV2" s="398"/>
      <c r="AW2" s="398"/>
      <c r="AX2" s="398"/>
      <c r="AY2" s="399"/>
      <c r="AZ2" s="397" t="str">
        <f>IF(ISBLANK('Základní list'!$A21),"",'Základní list'!$A21)</f>
        <v>K</v>
      </c>
      <c r="BA2" s="398"/>
      <c r="BB2" s="398"/>
      <c r="BC2" s="398"/>
      <c r="BD2" s="399"/>
      <c r="BE2" s="397" t="str">
        <f>IF(ISBLANK('Základní list'!$A22),"",'Základní list'!$A22)</f>
        <v>L</v>
      </c>
      <c r="BF2" s="398"/>
      <c r="BG2" s="398"/>
      <c r="BH2" s="398"/>
      <c r="BI2" s="399"/>
      <c r="BJ2" s="397" t="str">
        <f>IF(ISBLANK('Základní list'!$A23),"",'Základní list'!$A23)</f>
        <v>M</v>
      </c>
      <c r="BK2" s="398"/>
      <c r="BL2" s="398"/>
      <c r="BM2" s="398"/>
      <c r="BN2" s="39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</row>
    <row r="3" spans="1:174" s="4" customFormat="1" ht="25.5" customHeight="1" thickBot="1">
      <c r="A3" s="402"/>
      <c r="B3" s="1" t="s">
        <v>14</v>
      </c>
      <c r="C3" s="2" t="s">
        <v>15</v>
      </c>
      <c r="D3" s="97" t="s">
        <v>28</v>
      </c>
      <c r="E3" s="18" t="s">
        <v>16</v>
      </c>
      <c r="F3" s="98"/>
      <c r="G3" s="1" t="s">
        <v>14</v>
      </c>
      <c r="H3" s="2" t="s">
        <v>15</v>
      </c>
      <c r="I3" s="97" t="s">
        <v>28</v>
      </c>
      <c r="J3" s="18" t="s">
        <v>16</v>
      </c>
      <c r="K3" s="98"/>
      <c r="L3" s="1" t="s">
        <v>14</v>
      </c>
      <c r="M3" s="2" t="s">
        <v>15</v>
      </c>
      <c r="N3" s="97" t="s">
        <v>28</v>
      </c>
      <c r="O3" s="18" t="s">
        <v>16</v>
      </c>
      <c r="P3" s="98" t="s">
        <v>54</v>
      </c>
      <c r="Q3" s="1" t="s">
        <v>14</v>
      </c>
      <c r="R3" s="2" t="s">
        <v>15</v>
      </c>
      <c r="S3" s="97" t="s">
        <v>28</v>
      </c>
      <c r="T3" s="18" t="s">
        <v>16</v>
      </c>
      <c r="U3" s="98" t="s">
        <v>54</v>
      </c>
      <c r="V3" s="1" t="s">
        <v>14</v>
      </c>
      <c r="W3" s="2" t="s">
        <v>15</v>
      </c>
      <c r="X3" s="97" t="s">
        <v>28</v>
      </c>
      <c r="Y3" s="18" t="s">
        <v>16</v>
      </c>
      <c r="Z3" s="98" t="s">
        <v>54</v>
      </c>
      <c r="AA3" s="1" t="s">
        <v>14</v>
      </c>
      <c r="AB3" s="2" t="s">
        <v>15</v>
      </c>
      <c r="AC3" s="97" t="s">
        <v>28</v>
      </c>
      <c r="AD3" s="18" t="s">
        <v>16</v>
      </c>
      <c r="AE3" s="98" t="s">
        <v>54</v>
      </c>
      <c r="AF3" s="1" t="s">
        <v>14</v>
      </c>
      <c r="AG3" s="2" t="s">
        <v>15</v>
      </c>
      <c r="AH3" s="97" t="s">
        <v>28</v>
      </c>
      <c r="AI3" s="18" t="s">
        <v>16</v>
      </c>
      <c r="AJ3" s="98" t="s">
        <v>54</v>
      </c>
      <c r="AK3" s="1" t="s">
        <v>14</v>
      </c>
      <c r="AL3" s="2" t="s">
        <v>15</v>
      </c>
      <c r="AM3" s="97" t="s">
        <v>28</v>
      </c>
      <c r="AN3" s="18" t="s">
        <v>16</v>
      </c>
      <c r="AO3" s="98" t="s">
        <v>54</v>
      </c>
      <c r="AP3" s="1" t="s">
        <v>14</v>
      </c>
      <c r="AQ3" s="2" t="s">
        <v>15</v>
      </c>
      <c r="AR3" s="97" t="s">
        <v>28</v>
      </c>
      <c r="AS3" s="18" t="s">
        <v>16</v>
      </c>
      <c r="AT3" s="98" t="s">
        <v>54</v>
      </c>
      <c r="AU3" s="1" t="s">
        <v>14</v>
      </c>
      <c r="AV3" s="2" t="s">
        <v>15</v>
      </c>
      <c r="AW3" s="97" t="s">
        <v>28</v>
      </c>
      <c r="AX3" s="18" t="s">
        <v>16</v>
      </c>
      <c r="AY3" s="98" t="s">
        <v>54</v>
      </c>
      <c r="AZ3" s="1" t="s">
        <v>14</v>
      </c>
      <c r="BA3" s="2" t="s">
        <v>15</v>
      </c>
      <c r="BB3" s="97" t="s">
        <v>28</v>
      </c>
      <c r="BC3" s="18" t="s">
        <v>16</v>
      </c>
      <c r="BD3" s="98" t="s">
        <v>54</v>
      </c>
      <c r="BE3" s="1" t="s">
        <v>14</v>
      </c>
      <c r="BF3" s="2" t="s">
        <v>15</v>
      </c>
      <c r="BG3" s="97" t="s">
        <v>28</v>
      </c>
      <c r="BH3" s="18" t="s">
        <v>16</v>
      </c>
      <c r="BI3" s="98" t="s">
        <v>54</v>
      </c>
      <c r="BJ3" s="1" t="s">
        <v>14</v>
      </c>
      <c r="BK3" s="2" t="s">
        <v>15</v>
      </c>
      <c r="BL3" s="97" t="s">
        <v>28</v>
      </c>
      <c r="BM3" s="18" t="s">
        <v>16</v>
      </c>
      <c r="BN3" s="98" t="s">
        <v>54</v>
      </c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</row>
    <row r="4" spans="1:174" s="181" customFormat="1" ht="34.5" customHeight="1">
      <c r="A4" s="211">
        <v>1</v>
      </c>
      <c r="B4" s="99" t="str">
        <f>IF(ISNA(MATCH(CONCATENATE(B$2,$A4),'Výsledková listina'!$Q:$Q,0)),"",INDEX('Výsledková listina'!$B:$B,MATCH(CONCATENATE(B$2,$A4),'Výsledková listina'!$Q:$Q,0),1))</f>
        <v>Zavřel Jan</v>
      </c>
      <c r="C4" s="176">
        <v>19765</v>
      </c>
      <c r="D4" s="177">
        <f aca="true" t="shared" si="0" ref="D4:D28">IF(C4="","",RANK(C4,C$1:C$65536,0))</f>
        <v>1</v>
      </c>
      <c r="E4" s="178">
        <f aca="true" t="shared" si="1" ref="E4:E28">IF(C4="","",((RANK(C4,C$1:C$65536,0))+(FREQUENCY(D$1:D$65536,D4)))/2)</f>
        <v>1</v>
      </c>
      <c r="F4" s="179"/>
      <c r="G4" s="99" t="str">
        <f>IF(ISNA(MATCH(CONCATENATE(G$2,$A4),'Výsledková listina'!$Q:$Q,0)),"",INDEX('Výsledková listina'!$B:$B,MATCH(CONCATENATE(G$2,$A4),'Výsledková listina'!$Q:$Q,0),1))</f>
        <v>Svitek Ferdinand</v>
      </c>
      <c r="H4" s="176">
        <v>3370</v>
      </c>
      <c r="I4" s="177">
        <f aca="true" t="shared" si="2" ref="I4:I28">IF(H4="","",RANK(H4,H$1:H$65536,0))</f>
        <v>14</v>
      </c>
      <c r="J4" s="178">
        <f aca="true" t="shared" si="3" ref="J4:J28">IF(H4="","",((RANK(H4,H$1:H$65536,0))+(FREQUENCY(I$1:I$65536,I4)))/2)</f>
        <v>14</v>
      </c>
      <c r="K4" s="179"/>
      <c r="L4" s="99">
        <f>IF(ISNA(MATCH(CONCATENATE(L$2,$A4),'Výsledková listina'!$Q:$Q,0)),"",INDEX('Výsledková listina'!$B:$B,MATCH(CONCATENATE(L$2,$A4),'Výsledková listina'!$Q:$Q,0),1))</f>
      </c>
      <c r="M4" s="176"/>
      <c r="N4" s="177">
        <f aca="true" t="shared" si="4" ref="N4:N28">IF(M4="","",RANK(M4,M$1:M$65536,0))</f>
      </c>
      <c r="O4" s="178">
        <f aca="true" t="shared" si="5" ref="O4:O28">IF(M4="","",((RANK(M4,M$1:M$65536,0))+(FREQUENCY(N$1:N$65536,N4)))/2)</f>
      </c>
      <c r="P4" s="179"/>
      <c r="Q4" s="99" t="str">
        <f>IF(ISNA(MATCH(CONCATENATE(Q$2,$A4),'Výsledková listina'!$Q:$Q,0)),"",INDEX('Výsledková listina'!$B:$B,MATCH(CONCATENATE(Q$2,$A4),'Výsledková listina'!$Q:$Q,0),1))</f>
        <v>Tichý Jan</v>
      </c>
      <c r="R4" s="176">
        <v>15450</v>
      </c>
      <c r="S4" s="177">
        <f aca="true" t="shared" si="6" ref="S4:S28">IF(R4="","",RANK(R4,R$1:R$65536,0))</f>
        <v>2</v>
      </c>
      <c r="T4" s="178">
        <f aca="true" t="shared" si="7" ref="T4:T28">IF(R4="","",((RANK(R4,R$1:R$65536,0))+(FREQUENCY(S$1:S$65536,S4)))/2)</f>
        <v>2</v>
      </c>
      <c r="U4" s="179"/>
      <c r="V4" s="99" t="str">
        <f>IF(ISNA(MATCH(CONCATENATE(V$2,$A4),'Výsledková listina'!$Q:$Q,0)),"",INDEX('Výsledková listina'!$B:$B,MATCH(CONCATENATE(V$2,$A4),'Výsledková listina'!$Q:$Q,0),1))</f>
        <v>Stříbrský Viktor</v>
      </c>
      <c r="W4" s="176">
        <v>6120</v>
      </c>
      <c r="X4" s="177">
        <f aca="true" t="shared" si="8" ref="X4:X28">IF(W4="","",RANK(W4,W$1:W$65536,0))</f>
        <v>13</v>
      </c>
      <c r="Y4" s="178">
        <f aca="true" t="shared" si="9" ref="Y4:Y28">IF(W4="","",((RANK(W4,W$1:W$65536,0))+(FREQUENCY(X$1:X$65536,X4)))/2)</f>
        <v>13</v>
      </c>
      <c r="Z4" s="179"/>
      <c r="AA4" s="99" t="str">
        <f>IF(ISNA(MATCH(CONCATENATE(AA$2,$A4),'Výsledková listina'!$Q:$Q,0)),"",INDEX('Výsledková listina'!$B:$B,MATCH(CONCATENATE(AA$2,$A4),'Výsledková listina'!$Q:$Q,0),1))</f>
        <v>Peterka Jaroslav</v>
      </c>
      <c r="AB4" s="176">
        <v>14410</v>
      </c>
      <c r="AC4" s="177">
        <f aca="true" t="shared" si="10" ref="AC4:AC28">IF(AB4="","",RANK(AB4,AB$1:AB$65536,0))</f>
        <v>1</v>
      </c>
      <c r="AD4" s="178">
        <f aca="true" t="shared" si="11" ref="AD4:AD28">IF(AB4="","",((RANK(AB4,AB$1:AB$65536,0))+(FREQUENCY(AC$1:AC$65536,AC4)))/2)</f>
        <v>1</v>
      </c>
      <c r="AE4" s="179"/>
      <c r="AF4" s="99" t="str">
        <f>IF(ISNA(MATCH(CONCATENATE(AF$2,$A4),'Výsledková listina'!$Q:$Q,0)),"",INDEX('Výsledková listina'!$B:$B,MATCH(CONCATENATE(AF$2,$A4),'Výsledková listina'!$Q:$Q,0),1))</f>
        <v>Tichý Rudolf</v>
      </c>
      <c r="AG4" s="176">
        <v>7680</v>
      </c>
      <c r="AH4" s="177">
        <f aca="true" t="shared" si="12" ref="AH4:AH28">IF(AG4="","",RANK(AG4,AG$1:AG$65536,0))</f>
        <v>10</v>
      </c>
      <c r="AI4" s="178">
        <f aca="true" t="shared" si="13" ref="AI4:AI28">IF(AG4="","",((RANK(AG4,AG$1:AG$65536,0))+(FREQUENCY(AH$1:AH$65536,AH4)))/2)</f>
        <v>10</v>
      </c>
      <c r="AJ4" s="179"/>
      <c r="AK4" s="99" t="str">
        <f>IF(ISNA(MATCH(CONCATENATE(AK$2,$A4),'Výsledková listina'!$Q:$Q,0)),"",INDEX('Výsledková listina'!$B:$B,MATCH(CONCATENATE(AK$2,$A4),'Výsledková listina'!$Q:$Q,0),1))</f>
        <v>Košina Pavel</v>
      </c>
      <c r="AL4" s="176">
        <v>9600</v>
      </c>
      <c r="AM4" s="177">
        <f aca="true" t="shared" si="14" ref="AM4:AM28">IF(AL4="","",RANK(AL4,AL$1:AL$65536,0))</f>
        <v>9</v>
      </c>
      <c r="AN4" s="178">
        <f aca="true" t="shared" si="15" ref="AN4:AN28">IF(AL4="","",((RANK(AL4,AL$1:AL$65536,0))+(FREQUENCY(AM$1:AM$65536,AM4)))/2)</f>
        <v>9</v>
      </c>
      <c r="AO4" s="179"/>
      <c r="AP4" s="99" t="str">
        <f>IF(ISNA(MATCH(CONCATENATE(AP$2,$A4),'Výsledková listina'!$Q:$Q,0)),"",INDEX('Výsledková listina'!$B:$B,MATCH(CONCATENATE(AP$2,$A4),'Výsledková listina'!$Q:$Q,0),1))</f>
        <v>Mucala Karel</v>
      </c>
      <c r="AQ4" s="176">
        <v>9970</v>
      </c>
      <c r="AR4" s="177">
        <f aca="true" t="shared" si="16" ref="AR4:AR28">IF(AQ4="","",RANK(AQ4,AQ$1:AQ$65536,0))</f>
        <v>10</v>
      </c>
      <c r="AS4" s="178">
        <f aca="true" t="shared" si="17" ref="AS4:AS28">IF(AQ4="","",((RANK(AQ4,AQ$1:AQ$65536,0))+(FREQUENCY(AR$1:AR$65536,AR4)))/2)</f>
        <v>10</v>
      </c>
      <c r="AT4" s="179"/>
      <c r="AU4" s="99">
        <f>IF(ISNA(MATCH(CONCATENATE(AU$2,$A4),'Výsledková listina'!$Q:$Q,0)),"",INDEX('Výsledková listina'!$B:$B,MATCH(CONCATENATE(AU$2,$A4),'Výsledková listina'!$Q:$Q,0),1))</f>
      </c>
      <c r="AV4" s="176"/>
      <c r="AW4" s="177">
        <f aca="true" t="shared" si="18" ref="AW4:AW28">IF(AV4="","",RANK(AV4,AV$1:AV$65536,0))</f>
      </c>
      <c r="AX4" s="178">
        <f aca="true" t="shared" si="19" ref="AX4:AX28">IF(AV4="","",((RANK(AV4,AV$1:AV$65536,0))+(FREQUENCY(AW$1:AW$65536,AW4)))/2)</f>
      </c>
      <c r="AY4" s="179"/>
      <c r="AZ4" s="99">
        <f>IF(ISNA(MATCH(CONCATENATE(AZ$2,$A4),'Výsledková listina'!$Q:$Q,0)),"",INDEX('Výsledková listina'!$B:$B,MATCH(CONCATENATE(AZ$2,$A4),'Výsledková listina'!$Q:$Q,0),1))</f>
      </c>
      <c r="BA4" s="176"/>
      <c r="BB4" s="177">
        <f aca="true" t="shared" si="20" ref="BB4:BB28">IF(BA4="","",RANK(BA4,BA$1:BA$65536,0))</f>
      </c>
      <c r="BC4" s="178">
        <f aca="true" t="shared" si="21" ref="BC4:BC28">IF(BA4="","",((RANK(BA4,BA$1:BA$65536,0))+(FREQUENCY(BB$1:BB$65536,BB4)))/2)</f>
      </c>
      <c r="BD4" s="179"/>
      <c r="BE4" s="99">
        <f>IF(ISNA(MATCH(CONCATENATE(BE$2,$A4),'Výsledková listina'!$Q:$Q,0)),"",INDEX('Výsledková listina'!$B:$B,MATCH(CONCATENATE(BE$2,$A4),'Výsledková listina'!$Q:$Q,0),1))</f>
      </c>
      <c r="BF4" s="176"/>
      <c r="BG4" s="177">
        <f aca="true" t="shared" si="22" ref="BG4:BG28">IF(BF4="","",RANK(BF4,BF$1:BF$65536,0))</f>
      </c>
      <c r="BH4" s="178">
        <f aca="true" t="shared" si="23" ref="BH4:BH28">IF(BF4="","",((RANK(BF4,BF$1:BF$65536,0))+(FREQUENCY(BG$1:BG$65536,BG4)))/2)</f>
      </c>
      <c r="BI4" s="179"/>
      <c r="BJ4" s="99">
        <f>IF(ISNA(MATCH(CONCATENATE(BJ$2,$A4),'Výsledková listina'!$Q:$Q,0)),"",INDEX('Výsledková listina'!$B:$B,MATCH(CONCATENATE(BJ$2,$A4),'Výsledková listina'!$Q:$Q,0),1))</f>
      </c>
      <c r="BK4" s="176"/>
      <c r="BL4" s="177">
        <f aca="true" t="shared" si="24" ref="BL4:BL28">IF(BK4="","",RANK(BK4,BK$1:BK$65536,0))</f>
      </c>
      <c r="BM4" s="178">
        <f aca="true" t="shared" si="25" ref="BM4:BM28">IF(BK4="","",((RANK(BK4,BK$1:BK$65536,0))+(FREQUENCY(BL$1:BL$65536,BL4)))/2)</f>
      </c>
      <c r="BN4" s="179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</row>
    <row r="5" spans="1:174" s="181" customFormat="1" ht="34.5" customHeight="1">
      <c r="A5" s="212">
        <v>2</v>
      </c>
      <c r="B5" s="99" t="str">
        <f>IF(ISNA(MATCH(CONCATENATE(B$2,$A5),'Výsledková listina'!$Q:$Q,0)),"",INDEX('Výsledková listina'!$B:$B,MATCH(CONCATENATE(B$2,$A5),'Výsledková listina'!$Q:$Q,0),1))</f>
        <v>Holčák Radek</v>
      </c>
      <c r="C5" s="176">
        <v>12045</v>
      </c>
      <c r="D5" s="177">
        <f t="shared" si="0"/>
        <v>3</v>
      </c>
      <c r="E5" s="178">
        <f t="shared" si="1"/>
        <v>3</v>
      </c>
      <c r="F5" s="182"/>
      <c r="G5" s="99" t="str">
        <f>IF(ISNA(MATCH(CONCATENATE(G$2,$A5),'Výsledková listina'!$Q:$Q,0)),"",INDEX('Výsledková listina'!$B:$B,MATCH(CONCATENATE(G$2,$A5),'Výsledková listina'!$Q:$Q,0),1))</f>
        <v>Poskočil Petr</v>
      </c>
      <c r="H5" s="176">
        <v>6180</v>
      </c>
      <c r="I5" s="177">
        <f t="shared" si="2"/>
        <v>7</v>
      </c>
      <c r="J5" s="178">
        <f t="shared" si="3"/>
        <v>7</v>
      </c>
      <c r="K5" s="182"/>
      <c r="L5" s="99" t="str">
        <f>IF(ISNA(MATCH(CONCATENATE(L$2,$A5),'Výsledková listina'!$Q:$Q,0)),"",INDEX('Výsledková listina'!$B:$B,MATCH(CONCATENATE(L$2,$A5),'Výsledková listina'!$Q:$Q,0),1))</f>
        <v>Sigmund David</v>
      </c>
      <c r="M5" s="176">
        <v>11870</v>
      </c>
      <c r="N5" s="177">
        <f t="shared" si="4"/>
        <v>3</v>
      </c>
      <c r="O5" s="178">
        <f t="shared" si="5"/>
        <v>3</v>
      </c>
      <c r="P5" s="182"/>
      <c r="Q5" s="99" t="str">
        <f>IF(ISNA(MATCH(CONCATENATE(Q$2,$A5),'Výsledková listina'!$Q:$Q,0)),"",INDEX('Výsledková listina'!$B:$B,MATCH(CONCATENATE(Q$2,$A5),'Výsledková listina'!$Q:$Q,0),1))</f>
        <v>Štovčík Viktor</v>
      </c>
      <c r="R5" s="176">
        <v>14070</v>
      </c>
      <c r="S5" s="177">
        <f t="shared" si="6"/>
        <v>3</v>
      </c>
      <c r="T5" s="178">
        <f t="shared" si="7"/>
        <v>3</v>
      </c>
      <c r="U5" s="182"/>
      <c r="V5" s="99" t="str">
        <f>IF(ISNA(MATCH(CONCATENATE(V$2,$A5),'Výsledková listina'!$Q:$Q,0)),"",INDEX('Výsledková listina'!$B:$B,MATCH(CONCATENATE(V$2,$A5),'Výsledková listina'!$Q:$Q,0),1))</f>
        <v>Ludvík Jiří</v>
      </c>
      <c r="W5" s="176">
        <v>9350</v>
      </c>
      <c r="X5" s="177">
        <f t="shared" si="8"/>
        <v>9</v>
      </c>
      <c r="Y5" s="178">
        <f t="shared" si="9"/>
        <v>9</v>
      </c>
      <c r="Z5" s="182"/>
      <c r="AA5" s="99" t="str">
        <f>IF(ISNA(MATCH(CONCATENATE(AA$2,$A5),'Výsledková listina'!$Q:$Q,0)),"",INDEX('Výsledková listina'!$B:$B,MATCH(CONCATENATE(AA$2,$A5),'Výsledková listina'!$Q:$Q,0),1))</f>
        <v>Hofta Jiří</v>
      </c>
      <c r="AB5" s="176">
        <v>4650</v>
      </c>
      <c r="AC5" s="177">
        <f t="shared" si="10"/>
        <v>11</v>
      </c>
      <c r="AD5" s="178">
        <f t="shared" si="11"/>
        <v>11</v>
      </c>
      <c r="AE5" s="182"/>
      <c r="AF5" s="99" t="str">
        <f>IF(ISNA(MATCH(CONCATENATE(AF$2,$A5),'Výsledková listina'!$Q:$Q,0)),"",INDEX('Výsledková listina'!$B:$B,MATCH(CONCATENATE(AF$2,$A5),'Výsledková listina'!$Q:$Q,0),1))</f>
        <v>Repšlová Jana</v>
      </c>
      <c r="AG5" s="176">
        <v>5310</v>
      </c>
      <c r="AH5" s="177">
        <f t="shared" si="12"/>
        <v>12</v>
      </c>
      <c r="AI5" s="178">
        <f t="shared" si="13"/>
        <v>12</v>
      </c>
      <c r="AJ5" s="182"/>
      <c r="AK5" s="99" t="str">
        <f>IF(ISNA(MATCH(CONCATENATE(AK$2,$A5),'Výsledková listina'!$Q:$Q,0)),"",INDEX('Výsledková listina'!$B:$B,MATCH(CONCATENATE(AK$2,$A5),'Výsledková listina'!$Q:$Q,0),1))</f>
        <v>Fedas Michal</v>
      </c>
      <c r="AL5" s="176">
        <v>7280</v>
      </c>
      <c r="AM5" s="177">
        <f t="shared" si="14"/>
        <v>10</v>
      </c>
      <c r="AN5" s="178">
        <f t="shared" si="15"/>
        <v>10.5</v>
      </c>
      <c r="AO5" s="182"/>
      <c r="AP5" s="99" t="str">
        <f>IF(ISNA(MATCH(CONCATENATE(AP$2,$A5),'Výsledková listina'!$Q:$Q,0)),"",INDEX('Výsledková listina'!$B:$B,MATCH(CONCATENATE(AP$2,$A5),'Výsledková listina'!$Q:$Q,0),1))</f>
        <v>Maťak Martin</v>
      </c>
      <c r="AQ5" s="176">
        <v>25850</v>
      </c>
      <c r="AR5" s="177">
        <f t="shared" si="16"/>
        <v>1</v>
      </c>
      <c r="AS5" s="178">
        <f t="shared" si="17"/>
        <v>1</v>
      </c>
      <c r="AT5" s="182"/>
      <c r="AU5" s="99">
        <f>IF(ISNA(MATCH(CONCATENATE(AU$2,$A5),'Výsledková listina'!$Q:$Q,0)),"",INDEX('Výsledková listina'!$B:$B,MATCH(CONCATENATE(AU$2,$A5),'Výsledková listina'!$Q:$Q,0),1))</f>
      </c>
      <c r="AV5" s="176"/>
      <c r="AW5" s="177">
        <f t="shared" si="18"/>
      </c>
      <c r="AX5" s="178">
        <f t="shared" si="19"/>
      </c>
      <c r="AY5" s="182"/>
      <c r="AZ5" s="99">
        <f>IF(ISNA(MATCH(CONCATENATE(AZ$2,$A5),'Výsledková listina'!$Q:$Q,0)),"",INDEX('Výsledková listina'!$B:$B,MATCH(CONCATENATE(AZ$2,$A5),'Výsledková listina'!$Q:$Q,0),1))</f>
      </c>
      <c r="BA5" s="176"/>
      <c r="BB5" s="177">
        <f t="shared" si="20"/>
      </c>
      <c r="BC5" s="178">
        <f t="shared" si="21"/>
      </c>
      <c r="BD5" s="182"/>
      <c r="BE5" s="99">
        <f>IF(ISNA(MATCH(CONCATENATE(BE$2,$A5),'Výsledková listina'!$Q:$Q,0)),"",INDEX('Výsledková listina'!$B:$B,MATCH(CONCATENATE(BE$2,$A5),'Výsledková listina'!$Q:$Q,0),1))</f>
      </c>
      <c r="BF5" s="176"/>
      <c r="BG5" s="177">
        <f t="shared" si="22"/>
      </c>
      <c r="BH5" s="178">
        <f t="shared" si="23"/>
      </c>
      <c r="BI5" s="182"/>
      <c r="BJ5" s="99">
        <f>IF(ISNA(MATCH(CONCATENATE(BJ$2,$A5),'Výsledková listina'!$Q:$Q,0)),"",INDEX('Výsledková listina'!$B:$B,MATCH(CONCATENATE(BJ$2,$A5),'Výsledková listina'!$Q:$Q,0),1))</f>
      </c>
      <c r="BK5" s="176"/>
      <c r="BL5" s="177">
        <f t="shared" si="24"/>
      </c>
      <c r="BM5" s="178">
        <f t="shared" si="25"/>
      </c>
      <c r="BN5" s="182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</row>
    <row r="6" spans="1:174" s="181" customFormat="1" ht="34.5" customHeight="1">
      <c r="A6" s="212">
        <v>3</v>
      </c>
      <c r="B6" s="99" t="str">
        <f>IF(ISNA(MATCH(CONCATENATE(B$2,$A6),'Výsledková listina'!$Q:$Q,0)),"",INDEX('Výsledková listina'!$B:$B,MATCH(CONCATENATE(B$2,$A6),'Výsledková listina'!$Q:$Q,0),1))</f>
        <v>Nerad Rostislav</v>
      </c>
      <c r="C6" s="176">
        <v>4440</v>
      </c>
      <c r="D6" s="177">
        <f t="shared" si="0"/>
        <v>10</v>
      </c>
      <c r="E6" s="178">
        <f t="shared" si="1"/>
        <v>10</v>
      </c>
      <c r="F6" s="182"/>
      <c r="G6" s="99" t="str">
        <f>IF(ISNA(MATCH(CONCATENATE(G$2,$A6),'Výsledková listina'!$Q:$Q,0)),"",INDEX('Výsledková listina'!$B:$B,MATCH(CONCATENATE(G$2,$A6),'Výsledková listina'!$Q:$Q,0),1))</f>
        <v>Houžvíček Jan</v>
      </c>
      <c r="H6" s="176">
        <v>11960</v>
      </c>
      <c r="I6" s="177">
        <f t="shared" si="2"/>
        <v>2</v>
      </c>
      <c r="J6" s="178">
        <f t="shared" si="3"/>
        <v>2</v>
      </c>
      <c r="K6" s="182"/>
      <c r="L6" s="99" t="str">
        <f>IF(ISNA(MATCH(CONCATENATE(L$2,$A6),'Výsledková listina'!$Q:$Q,0)),"",INDEX('Výsledková listina'!$B:$B,MATCH(CONCATENATE(L$2,$A6),'Výsledková listina'!$Q:$Q,0),1))</f>
        <v>Koucký Miloslav</v>
      </c>
      <c r="M6" s="176">
        <v>13585</v>
      </c>
      <c r="N6" s="177">
        <f t="shared" si="4"/>
        <v>1</v>
      </c>
      <c r="O6" s="178">
        <f t="shared" si="5"/>
        <v>1</v>
      </c>
      <c r="P6" s="182"/>
      <c r="Q6" s="99" t="str">
        <f>IF(ISNA(MATCH(CONCATENATE(Q$2,$A6),'Výsledková listina'!$Q:$Q,0)),"",INDEX('Výsledková listina'!$B:$B,MATCH(CONCATENATE(Q$2,$A6),'Výsledková listina'!$Q:$Q,0),1))</f>
        <v>Kabourek Václav</v>
      </c>
      <c r="R6" s="176">
        <v>7055</v>
      </c>
      <c r="S6" s="177">
        <f t="shared" si="6"/>
        <v>10</v>
      </c>
      <c r="T6" s="178">
        <f t="shared" si="7"/>
        <v>10</v>
      </c>
      <c r="U6" s="182"/>
      <c r="V6" s="99" t="str">
        <f>IF(ISNA(MATCH(CONCATENATE(V$2,$A6),'Výsledková listina'!$Q:$Q,0)),"",INDEX('Výsledková listina'!$B:$B,MATCH(CONCATENATE(V$2,$A6),'Výsledková listina'!$Q:$Q,0),1))</f>
        <v>Lukášová Viktorie</v>
      </c>
      <c r="W6" s="183">
        <v>450</v>
      </c>
      <c r="X6" s="177">
        <f t="shared" si="8"/>
        <v>16</v>
      </c>
      <c r="Y6" s="178">
        <f t="shared" si="9"/>
        <v>16</v>
      </c>
      <c r="Z6" s="182"/>
      <c r="AA6" s="99" t="str">
        <f>IF(ISNA(MATCH(CONCATENATE(AA$2,$A6),'Výsledková listina'!$Q:$Q,0)),"",INDEX('Výsledková listina'!$B:$B,MATCH(CONCATENATE(AA$2,$A6),'Výsledková listina'!$Q:$Q,0),1))</f>
        <v>Pechalová Andrea</v>
      </c>
      <c r="AB6" s="176">
        <v>8140</v>
      </c>
      <c r="AC6" s="177">
        <f t="shared" si="10"/>
        <v>7</v>
      </c>
      <c r="AD6" s="178">
        <f t="shared" si="11"/>
        <v>7</v>
      </c>
      <c r="AE6" s="182"/>
      <c r="AF6" s="99" t="str">
        <f>IF(ISNA(MATCH(CONCATENATE(AF$2,$A6),'Výsledková listina'!$Q:$Q,0)),"",INDEX('Výsledková listina'!$B:$B,MATCH(CONCATENATE(AF$2,$A6),'Výsledková listina'!$Q:$Q,0),1))</f>
        <v>Řípa Aleš</v>
      </c>
      <c r="AG6" s="176">
        <v>4090</v>
      </c>
      <c r="AH6" s="177">
        <f t="shared" si="12"/>
        <v>13</v>
      </c>
      <c r="AI6" s="178">
        <f t="shared" si="13"/>
        <v>13</v>
      </c>
      <c r="AJ6" s="182"/>
      <c r="AK6" s="99" t="str">
        <f>IF(ISNA(MATCH(CONCATENATE(AK$2,$A6),'Výsledková listina'!$Q:$Q,0)),"",INDEX('Výsledková listina'!$B:$B,MATCH(CONCATENATE(AK$2,$A6),'Výsledková listina'!$Q:$Q,0),1))</f>
        <v>Ondrušek Roman</v>
      </c>
      <c r="AL6" s="176">
        <v>10040</v>
      </c>
      <c r="AM6" s="177">
        <f t="shared" si="14"/>
        <v>8</v>
      </c>
      <c r="AN6" s="178">
        <f t="shared" si="15"/>
        <v>8</v>
      </c>
      <c r="AO6" s="182"/>
      <c r="AP6" s="99" t="str">
        <f>IF(ISNA(MATCH(CONCATENATE(AP$2,$A6),'Výsledková listina'!$Q:$Q,0)),"",INDEX('Výsledková listina'!$B:$B,MATCH(CONCATENATE(AP$2,$A6),'Výsledková listina'!$Q:$Q,0),1))</f>
        <v>Havlíček Petr</v>
      </c>
      <c r="AQ6" s="176">
        <v>9140</v>
      </c>
      <c r="AR6" s="177">
        <f t="shared" si="16"/>
        <v>12</v>
      </c>
      <c r="AS6" s="178">
        <f t="shared" si="17"/>
        <v>12</v>
      </c>
      <c r="AT6" s="182"/>
      <c r="AU6" s="99">
        <f>IF(ISNA(MATCH(CONCATENATE(AU$2,$A6),'Výsledková listina'!$Q:$Q,0)),"",INDEX('Výsledková listina'!$B:$B,MATCH(CONCATENATE(AU$2,$A6),'Výsledková listina'!$Q:$Q,0),1))</f>
      </c>
      <c r="AV6" s="176"/>
      <c r="AW6" s="177">
        <f t="shared" si="18"/>
      </c>
      <c r="AX6" s="178">
        <f t="shared" si="19"/>
      </c>
      <c r="AY6" s="182"/>
      <c r="AZ6" s="99">
        <f>IF(ISNA(MATCH(CONCATENATE(AZ$2,$A6),'Výsledková listina'!$Q:$Q,0)),"",INDEX('Výsledková listina'!$B:$B,MATCH(CONCATENATE(AZ$2,$A6),'Výsledková listina'!$Q:$Q,0),1))</f>
      </c>
      <c r="BA6" s="176"/>
      <c r="BB6" s="177">
        <f t="shared" si="20"/>
      </c>
      <c r="BC6" s="178">
        <f t="shared" si="21"/>
      </c>
      <c r="BD6" s="182"/>
      <c r="BE6" s="99">
        <f>IF(ISNA(MATCH(CONCATENATE(BE$2,$A6),'Výsledková listina'!$Q:$Q,0)),"",INDEX('Výsledková listina'!$B:$B,MATCH(CONCATENATE(BE$2,$A6),'Výsledková listina'!$Q:$Q,0),1))</f>
      </c>
      <c r="BF6" s="176"/>
      <c r="BG6" s="177">
        <f t="shared" si="22"/>
      </c>
      <c r="BH6" s="178">
        <f t="shared" si="23"/>
      </c>
      <c r="BI6" s="182"/>
      <c r="BJ6" s="99">
        <f>IF(ISNA(MATCH(CONCATENATE(BJ$2,$A6),'Výsledková listina'!$Q:$Q,0)),"",INDEX('Výsledková listina'!$B:$B,MATCH(CONCATENATE(BJ$2,$A6),'Výsledková listina'!$Q:$Q,0),1))</f>
      </c>
      <c r="BK6" s="176"/>
      <c r="BL6" s="177">
        <f t="shared" si="24"/>
      </c>
      <c r="BM6" s="178">
        <f t="shared" si="25"/>
      </c>
      <c r="BN6" s="182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</row>
    <row r="7" spans="1:174" s="181" customFormat="1" ht="34.5" customHeight="1">
      <c r="A7" s="212">
        <v>4</v>
      </c>
      <c r="B7" s="99" t="str">
        <f>IF(ISNA(MATCH(CONCATENATE(B$2,$A7),'Výsledková listina'!$Q:$Q,0)),"",INDEX('Výsledková listina'!$B:$B,MATCH(CONCATENATE(B$2,$A7),'Výsledková listina'!$Q:$Q,0),1))</f>
        <v>Kortiš Ladislav</v>
      </c>
      <c r="C7" s="176">
        <v>6885</v>
      </c>
      <c r="D7" s="177">
        <f t="shared" si="0"/>
        <v>7</v>
      </c>
      <c r="E7" s="178">
        <f t="shared" si="1"/>
        <v>7</v>
      </c>
      <c r="F7" s="182"/>
      <c r="G7" s="99" t="str">
        <f>IF(ISNA(MATCH(CONCATENATE(G$2,$A7),'Výsledková listina'!$Q:$Q,0)),"",INDEX('Výsledková listina'!$B:$B,MATCH(CONCATENATE(G$2,$A7),'Výsledková listina'!$Q:$Q,0),1))</f>
        <v>Staněk Karel</v>
      </c>
      <c r="H7" s="176">
        <v>5700</v>
      </c>
      <c r="I7" s="177">
        <f t="shared" si="2"/>
        <v>8</v>
      </c>
      <c r="J7" s="178">
        <f t="shared" si="3"/>
        <v>8</v>
      </c>
      <c r="K7" s="182"/>
      <c r="L7" s="99" t="str">
        <f>IF(ISNA(MATCH(CONCATENATE(L$2,$A7),'Výsledková listina'!$Q:$Q,0)),"",INDEX('Výsledková listina'!$B:$B,MATCH(CONCATENATE(L$2,$A7),'Výsledková listina'!$Q:$Q,0),1))</f>
        <v>Kuchař Petr</v>
      </c>
      <c r="M7" s="176">
        <v>6015</v>
      </c>
      <c r="N7" s="177">
        <f t="shared" si="4"/>
        <v>10</v>
      </c>
      <c r="O7" s="178">
        <f t="shared" si="5"/>
        <v>10</v>
      </c>
      <c r="P7" s="182"/>
      <c r="Q7" s="99" t="str">
        <f>IF(ISNA(MATCH(CONCATENATE(Q$2,$A7),'Výsledková listina'!$Q:$Q,0)),"",INDEX('Výsledková listina'!$B:$B,MATCH(CONCATENATE(Q$2,$A7),'Výsledková listina'!$Q:$Q,0),1))</f>
        <v>Řezáč Jan ml.</v>
      </c>
      <c r="R7" s="176">
        <v>5940</v>
      </c>
      <c r="S7" s="177">
        <f t="shared" si="6"/>
        <v>12</v>
      </c>
      <c r="T7" s="178">
        <f t="shared" si="7"/>
        <v>12</v>
      </c>
      <c r="U7" s="182"/>
      <c r="V7" s="99" t="str">
        <f>IF(ISNA(MATCH(CONCATENATE(V$2,$A7),'Výsledková listina'!$Q:$Q,0)),"",INDEX('Výsledková listina'!$B:$B,MATCH(CONCATENATE(V$2,$A7),'Výsledková listina'!$Q:$Q,0),1))</f>
        <v>Procházka Matyáš</v>
      </c>
      <c r="W7" s="176">
        <v>7210</v>
      </c>
      <c r="X7" s="177">
        <f t="shared" si="8"/>
        <v>12</v>
      </c>
      <c r="Y7" s="178">
        <f t="shared" si="9"/>
        <v>12</v>
      </c>
      <c r="Z7" s="182"/>
      <c r="AA7" s="99" t="str">
        <f>IF(ISNA(MATCH(CONCATENATE(AA$2,$A7),'Výsledková listina'!$Q:$Q,0)),"",INDEX('Výsledková listina'!$B:$B,MATCH(CONCATENATE(AA$2,$A7),'Výsledková listina'!$Q:$Q,0),1))</f>
        <v>Stupka Jaroslav</v>
      </c>
      <c r="AB7" s="176">
        <v>5870</v>
      </c>
      <c r="AC7" s="177">
        <f t="shared" si="10"/>
        <v>8</v>
      </c>
      <c r="AD7" s="178">
        <f t="shared" si="11"/>
        <v>8</v>
      </c>
      <c r="AE7" s="182"/>
      <c r="AF7" s="99" t="str">
        <f>IF(ISNA(MATCH(CONCATENATE(AF$2,$A7),'Výsledková listina'!$Q:$Q,0)),"",INDEX('Výsledková listina'!$B:$B,MATCH(CONCATENATE(AF$2,$A7),'Výsledková listina'!$Q:$Q,0),1))</f>
        <v>Král Víťa  st.</v>
      </c>
      <c r="AG7" s="176">
        <v>9480</v>
      </c>
      <c r="AH7" s="177">
        <f t="shared" si="12"/>
        <v>8</v>
      </c>
      <c r="AI7" s="178">
        <f t="shared" si="13"/>
        <v>8</v>
      </c>
      <c r="AJ7" s="182"/>
      <c r="AK7" s="99" t="str">
        <f>IF(ISNA(MATCH(CONCATENATE(AK$2,$A7),'Výsledková listina'!$Q:$Q,0)),"",INDEX('Výsledková listina'!$B:$B,MATCH(CONCATENATE(AK$2,$A7),'Výsledková listina'!$Q:$Q,0),1))</f>
        <v>Tomšík Jan</v>
      </c>
      <c r="AL7" s="176">
        <v>14980</v>
      </c>
      <c r="AM7" s="177">
        <f t="shared" si="14"/>
        <v>3</v>
      </c>
      <c r="AN7" s="178">
        <f t="shared" si="15"/>
        <v>3</v>
      </c>
      <c r="AO7" s="182"/>
      <c r="AP7" s="99" t="str">
        <f>IF(ISNA(MATCH(CONCATENATE(AP$2,$A7),'Výsledková listina'!$Q:$Q,0)),"",INDEX('Výsledková listina'!$B:$B,MATCH(CONCATENATE(AP$2,$A7),'Výsledková listina'!$Q:$Q,0),1))</f>
        <v>Halíř Lukáš</v>
      </c>
      <c r="AQ7" s="176">
        <v>17310</v>
      </c>
      <c r="AR7" s="177">
        <f t="shared" si="16"/>
        <v>4</v>
      </c>
      <c r="AS7" s="178">
        <f t="shared" si="17"/>
        <v>4</v>
      </c>
      <c r="AT7" s="182"/>
      <c r="AU7" s="99">
        <f>IF(ISNA(MATCH(CONCATENATE(AU$2,$A7),'Výsledková listina'!$Q:$Q,0)),"",INDEX('Výsledková listina'!$B:$B,MATCH(CONCATENATE(AU$2,$A7),'Výsledková listina'!$Q:$Q,0),1))</f>
      </c>
      <c r="AV7" s="176"/>
      <c r="AW7" s="177">
        <f t="shared" si="18"/>
      </c>
      <c r="AX7" s="178">
        <f t="shared" si="19"/>
      </c>
      <c r="AY7" s="182"/>
      <c r="AZ7" s="99">
        <f>IF(ISNA(MATCH(CONCATENATE(AZ$2,$A7),'Výsledková listina'!$Q:$Q,0)),"",INDEX('Výsledková listina'!$B:$B,MATCH(CONCATENATE(AZ$2,$A7),'Výsledková listina'!$Q:$Q,0),1))</f>
      </c>
      <c r="BA7" s="176"/>
      <c r="BB7" s="177">
        <f t="shared" si="20"/>
      </c>
      <c r="BC7" s="178">
        <f t="shared" si="21"/>
      </c>
      <c r="BD7" s="182"/>
      <c r="BE7" s="99">
        <f>IF(ISNA(MATCH(CONCATENATE(BE$2,$A7),'Výsledková listina'!$Q:$Q,0)),"",INDEX('Výsledková listina'!$B:$B,MATCH(CONCATENATE(BE$2,$A7),'Výsledková listina'!$Q:$Q,0),1))</f>
      </c>
      <c r="BF7" s="176"/>
      <c r="BG7" s="177">
        <f t="shared" si="22"/>
      </c>
      <c r="BH7" s="178">
        <f t="shared" si="23"/>
      </c>
      <c r="BI7" s="182"/>
      <c r="BJ7" s="99">
        <f>IF(ISNA(MATCH(CONCATENATE(BJ$2,$A7),'Výsledková listina'!$Q:$Q,0)),"",INDEX('Výsledková listina'!$B:$B,MATCH(CONCATENATE(BJ$2,$A7),'Výsledková listina'!$Q:$Q,0),1))</f>
      </c>
      <c r="BK7" s="176"/>
      <c r="BL7" s="177">
        <f t="shared" si="24"/>
      </c>
      <c r="BM7" s="178">
        <f t="shared" si="25"/>
      </c>
      <c r="BN7" s="182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</row>
    <row r="8" spans="1:174" s="181" customFormat="1" ht="34.5" customHeight="1">
      <c r="A8" s="212">
        <v>5</v>
      </c>
      <c r="B8" s="99" t="str">
        <f>IF(ISNA(MATCH(CONCATENATE(B$2,$A8),'Výsledková listina'!$Q:$Q,0)),"",INDEX('Výsledková listina'!$B:$B,MATCH(CONCATENATE(B$2,$A8),'Výsledková listina'!$Q:$Q,0),1))</f>
        <v>Pagáč Pavel</v>
      </c>
      <c r="C8" s="176">
        <v>2943</v>
      </c>
      <c r="D8" s="177">
        <f t="shared" si="0"/>
        <v>11</v>
      </c>
      <c r="E8" s="178">
        <f t="shared" si="1"/>
        <v>11</v>
      </c>
      <c r="F8" s="182"/>
      <c r="G8" s="99" t="str">
        <f>IF(ISNA(MATCH(CONCATENATE(G$2,$A8),'Výsledková listina'!$Q:$Q,0)),"",INDEX('Výsledková listina'!$B:$B,MATCH(CONCATENATE(G$2,$A8),'Výsledková listina'!$Q:$Q,0),1))</f>
        <v>Lukášek Jakub</v>
      </c>
      <c r="H8" s="176">
        <v>6410</v>
      </c>
      <c r="I8" s="177">
        <f t="shared" si="2"/>
        <v>6</v>
      </c>
      <c r="J8" s="178">
        <f t="shared" si="3"/>
        <v>6</v>
      </c>
      <c r="K8" s="182"/>
      <c r="L8" s="99" t="str">
        <f>IF(ISNA(MATCH(CONCATENATE(L$2,$A8),'Výsledková listina'!$Q:$Q,0)),"",INDEX('Výsledková listina'!$B:$B,MATCH(CONCATENATE(L$2,$A8),'Výsledková listina'!$Q:$Q,0),1))</f>
        <v>Bank Jan</v>
      </c>
      <c r="M8" s="176">
        <v>11500</v>
      </c>
      <c r="N8" s="177">
        <f t="shared" si="4"/>
        <v>5</v>
      </c>
      <c r="O8" s="178">
        <f t="shared" si="5"/>
        <v>5</v>
      </c>
      <c r="P8" s="182"/>
      <c r="Q8" s="99" t="str">
        <f>IF(ISNA(MATCH(CONCATENATE(Q$2,$A8),'Výsledková listina'!$Q:$Q,0)),"",INDEX('Výsledková listina'!$B:$B,MATCH(CONCATENATE(Q$2,$A8),'Výsledková listina'!$Q:$Q,0),1))</f>
        <v>Chadraba Petr</v>
      </c>
      <c r="R8" s="176">
        <v>9320</v>
      </c>
      <c r="S8" s="177">
        <f t="shared" si="6"/>
        <v>6</v>
      </c>
      <c r="T8" s="178">
        <f t="shared" si="7"/>
        <v>6</v>
      </c>
      <c r="U8" s="182"/>
      <c r="V8" s="99" t="str">
        <f>IF(ISNA(MATCH(CONCATENATE(V$2,$A8),'Výsledková listina'!$Q:$Q,0)),"",INDEX('Výsledková listina'!$B:$B,MATCH(CONCATENATE(V$2,$A8),'Výsledková listina'!$Q:$Q,0),1))</f>
        <v>Fedas Ondřej</v>
      </c>
      <c r="W8" s="176">
        <v>8480</v>
      </c>
      <c r="X8" s="177">
        <f t="shared" si="8"/>
        <v>10</v>
      </c>
      <c r="Y8" s="178">
        <f t="shared" si="9"/>
        <v>10</v>
      </c>
      <c r="Z8" s="182"/>
      <c r="AA8" s="99" t="str">
        <f>IF(ISNA(MATCH(CONCATENATE(AA$2,$A8),'Výsledková listina'!$Q:$Q,0)),"",INDEX('Výsledková listina'!$B:$B,MATCH(CONCATENATE(AA$2,$A8),'Výsledková listina'!$Q:$Q,0),1))</f>
        <v>Moravčík Petr</v>
      </c>
      <c r="AB8" s="176">
        <v>5430</v>
      </c>
      <c r="AC8" s="177">
        <f t="shared" si="10"/>
        <v>10</v>
      </c>
      <c r="AD8" s="178">
        <f t="shared" si="11"/>
        <v>10</v>
      </c>
      <c r="AE8" s="182"/>
      <c r="AF8" s="99" t="str">
        <f>IF(ISNA(MATCH(CONCATENATE(AF$2,$A8),'Výsledková listina'!$Q:$Q,0)),"",INDEX('Výsledková listina'!$B:$B,MATCH(CONCATENATE(AF$2,$A8),'Výsledková listina'!$Q:$Q,0),1))</f>
        <v>Novosad Tomáš</v>
      </c>
      <c r="AG8" s="176">
        <v>1500</v>
      </c>
      <c r="AH8" s="177">
        <f t="shared" si="12"/>
        <v>16</v>
      </c>
      <c r="AI8" s="178">
        <f t="shared" si="13"/>
        <v>16</v>
      </c>
      <c r="AJ8" s="182"/>
      <c r="AK8" s="99" t="str">
        <f>IF(ISNA(MATCH(CONCATENATE(AK$2,$A8),'Výsledková listina'!$Q:$Q,0)),"",INDEX('Výsledková listina'!$B:$B,MATCH(CONCATENATE(AK$2,$A8),'Výsledková listina'!$Q:$Q,0),1))</f>
        <v>Bromovský Petr</v>
      </c>
      <c r="AL8" s="176">
        <v>7280</v>
      </c>
      <c r="AM8" s="177">
        <f t="shared" si="14"/>
        <v>10</v>
      </c>
      <c r="AN8" s="178">
        <f t="shared" si="15"/>
        <v>10.5</v>
      </c>
      <c r="AO8" s="182"/>
      <c r="AP8" s="99" t="str">
        <f>IF(ISNA(MATCH(CONCATENATE(AP$2,$A8),'Výsledková listina'!$Q:$Q,0)),"",INDEX('Výsledková listina'!$B:$B,MATCH(CONCATENATE(AP$2,$A8),'Výsledková listina'!$Q:$Q,0),1))</f>
        <v>Štěpnička Milan</v>
      </c>
      <c r="AQ8" s="176">
        <v>11130</v>
      </c>
      <c r="AR8" s="177">
        <f t="shared" si="16"/>
        <v>7</v>
      </c>
      <c r="AS8" s="178">
        <f t="shared" si="17"/>
        <v>7</v>
      </c>
      <c r="AT8" s="182"/>
      <c r="AU8" s="99">
        <f>IF(ISNA(MATCH(CONCATENATE(AU$2,$A8),'Výsledková listina'!$Q:$Q,0)),"",INDEX('Výsledková listina'!$B:$B,MATCH(CONCATENATE(AU$2,$A8),'Výsledková listina'!$Q:$Q,0),1))</f>
      </c>
      <c r="AV8" s="176"/>
      <c r="AW8" s="177">
        <f t="shared" si="18"/>
      </c>
      <c r="AX8" s="178">
        <f t="shared" si="19"/>
      </c>
      <c r="AY8" s="182"/>
      <c r="AZ8" s="99">
        <f>IF(ISNA(MATCH(CONCATENATE(AZ$2,$A8),'Výsledková listina'!$Q:$Q,0)),"",INDEX('Výsledková listina'!$B:$B,MATCH(CONCATENATE(AZ$2,$A8),'Výsledková listina'!$Q:$Q,0),1))</f>
      </c>
      <c r="BA8" s="176"/>
      <c r="BB8" s="177">
        <f t="shared" si="20"/>
      </c>
      <c r="BC8" s="178">
        <f t="shared" si="21"/>
      </c>
      <c r="BD8" s="182"/>
      <c r="BE8" s="99">
        <f>IF(ISNA(MATCH(CONCATENATE(BE$2,$A8),'Výsledková listina'!$Q:$Q,0)),"",INDEX('Výsledková listina'!$B:$B,MATCH(CONCATENATE(BE$2,$A8),'Výsledková listina'!$Q:$Q,0),1))</f>
      </c>
      <c r="BF8" s="176"/>
      <c r="BG8" s="177">
        <f t="shared" si="22"/>
      </c>
      <c r="BH8" s="178">
        <f t="shared" si="23"/>
      </c>
      <c r="BI8" s="182"/>
      <c r="BJ8" s="99">
        <f>IF(ISNA(MATCH(CONCATENATE(BJ$2,$A8),'Výsledková listina'!$Q:$Q,0)),"",INDEX('Výsledková listina'!$B:$B,MATCH(CONCATENATE(BJ$2,$A8),'Výsledková listina'!$Q:$Q,0),1))</f>
      </c>
      <c r="BK8" s="176"/>
      <c r="BL8" s="177">
        <f t="shared" si="24"/>
      </c>
      <c r="BM8" s="178">
        <f t="shared" si="25"/>
      </c>
      <c r="BN8" s="182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</row>
    <row r="9" spans="1:174" s="181" customFormat="1" ht="34.5" customHeight="1">
      <c r="A9" s="212">
        <v>6</v>
      </c>
      <c r="B9" s="99" t="str">
        <f>IF(ISNA(MATCH(CONCATENATE(B$2,$A9),'Výsledková listina'!$Q:$Q,0)),"",INDEX('Výsledková listina'!$B:$B,MATCH(CONCATENATE(B$2,$A9),'Výsledková listina'!$Q:$Q,0),1))</f>
        <v>Řezáč Jan st.</v>
      </c>
      <c r="C9" s="176">
        <v>5710</v>
      </c>
      <c r="D9" s="177">
        <f t="shared" si="0"/>
        <v>9</v>
      </c>
      <c r="E9" s="178">
        <f t="shared" si="1"/>
        <v>9</v>
      </c>
      <c r="F9" s="182"/>
      <c r="G9" s="99" t="str">
        <f>IF(ISNA(MATCH(CONCATENATE(G$2,$A9),'Výsledková listina'!$Q:$Q,0)),"",INDEX('Výsledková listina'!$B:$B,MATCH(CONCATENATE(G$2,$A9),'Výsledková listina'!$Q:$Q,0),1))</f>
        <v>Koubek František</v>
      </c>
      <c r="H9" s="176">
        <v>5420</v>
      </c>
      <c r="I9" s="177">
        <f t="shared" si="2"/>
        <v>10</v>
      </c>
      <c r="J9" s="178">
        <f t="shared" si="3"/>
        <v>10</v>
      </c>
      <c r="K9" s="182"/>
      <c r="L9" s="99" t="str">
        <f>IF(ISNA(MATCH(CONCATENATE(L$2,$A9),'Výsledková listina'!$Q:$Q,0)),"",INDEX('Výsledková listina'!$B:$B,MATCH(CONCATENATE(L$2,$A9),'Výsledková listina'!$Q:$Q,0),1))</f>
        <v>Vrtěl Petr</v>
      </c>
      <c r="M9" s="176">
        <v>12555</v>
      </c>
      <c r="N9" s="177">
        <f t="shared" si="4"/>
        <v>2</v>
      </c>
      <c r="O9" s="178">
        <f t="shared" si="5"/>
        <v>2</v>
      </c>
      <c r="P9" s="182"/>
      <c r="Q9" s="99" t="str">
        <f>IF(ISNA(MATCH(CONCATENATE(Q$2,$A9),'Výsledková listina'!$Q:$Q,0)),"",INDEX('Výsledková listina'!$B:$B,MATCH(CONCATENATE(Q$2,$A9),'Výsledková listina'!$Q:$Q,0),1))</f>
        <v>Kryštofy Roman</v>
      </c>
      <c r="R9" s="176">
        <v>1800</v>
      </c>
      <c r="S9" s="177">
        <f t="shared" si="6"/>
        <v>14</v>
      </c>
      <c r="T9" s="178">
        <f t="shared" si="7"/>
        <v>14</v>
      </c>
      <c r="U9" s="182"/>
      <c r="V9" s="99" t="str">
        <f>IF(ISNA(MATCH(CONCATENATE(V$2,$A9),'Výsledková listina'!$Q:$Q,0)),"",INDEX('Výsledková listina'!$B:$B,MATCH(CONCATENATE(V$2,$A9),'Výsledková listina'!$Q:$Q,0),1))</f>
        <v>Vik Marek</v>
      </c>
      <c r="W9" s="176">
        <v>14003</v>
      </c>
      <c r="X9" s="177">
        <f t="shared" si="8"/>
        <v>5</v>
      </c>
      <c r="Y9" s="178">
        <f t="shared" si="9"/>
        <v>5</v>
      </c>
      <c r="Z9" s="182"/>
      <c r="AA9" s="99" t="str">
        <f>IF(ISNA(MATCH(CONCATENATE(AA$2,$A9),'Výsledková listina'!$Q:$Q,0)),"",INDEX('Výsledková listina'!$B:$B,MATCH(CONCATENATE(AA$2,$A9),'Výsledková listina'!$Q:$Q,0),1))</f>
        <v>Komora Martin</v>
      </c>
      <c r="AB9" s="176">
        <v>11790</v>
      </c>
      <c r="AC9" s="177">
        <f t="shared" si="10"/>
        <v>2</v>
      </c>
      <c r="AD9" s="178">
        <f t="shared" si="11"/>
        <v>2</v>
      </c>
      <c r="AE9" s="182"/>
      <c r="AF9" s="99" t="str">
        <f>IF(ISNA(MATCH(CONCATENATE(AF$2,$A9),'Výsledková listina'!$Q:$Q,0)),"",INDEX('Výsledková listina'!$B:$B,MATCH(CONCATENATE(AF$2,$A9),'Výsledková listina'!$Q:$Q,0),1))</f>
        <v>Vitásek Jiří</v>
      </c>
      <c r="AG9" s="176">
        <v>14750</v>
      </c>
      <c r="AH9" s="177">
        <f t="shared" si="12"/>
        <v>4</v>
      </c>
      <c r="AI9" s="178">
        <f t="shared" si="13"/>
        <v>4</v>
      </c>
      <c r="AJ9" s="182"/>
      <c r="AK9" s="99" t="str">
        <f>IF(ISNA(MATCH(CONCATENATE(AK$2,$A9),'Výsledková listina'!$Q:$Q,0)),"",INDEX('Výsledková listina'!$B:$B,MATCH(CONCATENATE(AK$2,$A9),'Výsledková listina'!$Q:$Q,0),1))</f>
        <v>Sičák Pavel</v>
      </c>
      <c r="AL9" s="176">
        <v>10680</v>
      </c>
      <c r="AM9" s="177">
        <f t="shared" si="14"/>
        <v>5</v>
      </c>
      <c r="AN9" s="178">
        <f t="shared" si="15"/>
        <v>5</v>
      </c>
      <c r="AO9" s="182"/>
      <c r="AP9" s="99" t="str">
        <f>IF(ISNA(MATCH(CONCATENATE(AP$2,$A9),'Výsledková listina'!$Q:$Q,0)),"",INDEX('Výsledková listina'!$B:$B,MATCH(CONCATENATE(AP$2,$A9),'Výsledková listina'!$Q:$Q,0),1))</f>
        <v>Konopásek Ladislav</v>
      </c>
      <c r="AQ9" s="176">
        <v>13390</v>
      </c>
      <c r="AR9" s="177">
        <f t="shared" si="16"/>
        <v>5</v>
      </c>
      <c r="AS9" s="178">
        <f t="shared" si="17"/>
        <v>5</v>
      </c>
      <c r="AT9" s="182"/>
      <c r="AU9" s="99">
        <f>IF(ISNA(MATCH(CONCATENATE(AU$2,$A9),'Výsledková listina'!$Q:$Q,0)),"",INDEX('Výsledková listina'!$B:$B,MATCH(CONCATENATE(AU$2,$A9),'Výsledková listina'!$Q:$Q,0),1))</f>
      </c>
      <c r="AV9" s="176"/>
      <c r="AW9" s="177">
        <f t="shared" si="18"/>
      </c>
      <c r="AX9" s="178">
        <f t="shared" si="19"/>
      </c>
      <c r="AY9" s="182"/>
      <c r="AZ9" s="99">
        <f>IF(ISNA(MATCH(CONCATENATE(AZ$2,$A9),'Výsledková listina'!$Q:$Q,0)),"",INDEX('Výsledková listina'!$B:$B,MATCH(CONCATENATE(AZ$2,$A9),'Výsledková listina'!$Q:$Q,0),1))</f>
      </c>
      <c r="BA9" s="176"/>
      <c r="BB9" s="177">
        <f t="shared" si="20"/>
      </c>
      <c r="BC9" s="178">
        <f t="shared" si="21"/>
      </c>
      <c r="BD9" s="182"/>
      <c r="BE9" s="99">
        <f>IF(ISNA(MATCH(CONCATENATE(BE$2,$A9),'Výsledková listina'!$Q:$Q,0)),"",INDEX('Výsledková listina'!$B:$B,MATCH(CONCATENATE(BE$2,$A9),'Výsledková listina'!$Q:$Q,0),1))</f>
      </c>
      <c r="BF9" s="176"/>
      <c r="BG9" s="177">
        <f t="shared" si="22"/>
      </c>
      <c r="BH9" s="178">
        <f t="shared" si="23"/>
      </c>
      <c r="BI9" s="182"/>
      <c r="BJ9" s="99">
        <f>IF(ISNA(MATCH(CONCATENATE(BJ$2,$A9),'Výsledková listina'!$Q:$Q,0)),"",INDEX('Výsledková listina'!$B:$B,MATCH(CONCATENATE(BJ$2,$A9),'Výsledková listina'!$Q:$Q,0),1))</f>
      </c>
      <c r="BK9" s="176"/>
      <c r="BL9" s="177">
        <f t="shared" si="24"/>
      </c>
      <c r="BM9" s="178">
        <f t="shared" si="25"/>
      </c>
      <c r="BN9" s="182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</row>
    <row r="10" spans="1:174" s="181" customFormat="1" ht="34.5" customHeight="1">
      <c r="A10" s="212">
        <v>7</v>
      </c>
      <c r="B10" s="99" t="str">
        <f>IF(ISNA(MATCH(CONCATENATE(B$2,$A10),'Výsledková listina'!$Q:$Q,0)),"",INDEX('Výsledková listina'!$B:$B,MATCH(CONCATENATE(B$2,$A10),'Výsledková listina'!$Q:$Q,0),1))</f>
        <v>Hrdlička Jaroslav</v>
      </c>
      <c r="C10" s="176">
        <v>9995</v>
      </c>
      <c r="D10" s="177">
        <f t="shared" si="0"/>
        <v>4</v>
      </c>
      <c r="E10" s="178">
        <f t="shared" si="1"/>
        <v>4</v>
      </c>
      <c r="F10" s="182"/>
      <c r="G10" s="99" t="str">
        <f>IF(ISNA(MATCH(CONCATENATE(G$2,$A10),'Výsledková listina'!$Q:$Q,0)),"",INDEX('Výsledková listina'!$B:$B,MATCH(CONCATENATE(G$2,$A10),'Výsledková listina'!$Q:$Q,0),1))</f>
        <v>Jurkovič Jan</v>
      </c>
      <c r="H10" s="176">
        <v>2580</v>
      </c>
      <c r="I10" s="177">
        <f t="shared" si="2"/>
        <v>15</v>
      </c>
      <c r="J10" s="178">
        <f t="shared" si="3"/>
        <v>15</v>
      </c>
      <c r="K10" s="182"/>
      <c r="L10" s="99" t="str">
        <f>IF(ISNA(MATCH(CONCATENATE(L$2,$A10),'Výsledková listina'!$Q:$Q,0)),"",INDEX('Výsledková listina'!$B:$B,MATCH(CONCATENATE(L$2,$A10),'Výsledková listina'!$Q:$Q,0),1))</f>
        <v>Čtverák Jaroslav</v>
      </c>
      <c r="M10" s="176">
        <v>11750</v>
      </c>
      <c r="N10" s="177">
        <f t="shared" si="4"/>
        <v>4</v>
      </c>
      <c r="O10" s="178">
        <f t="shared" si="5"/>
        <v>4</v>
      </c>
      <c r="P10" s="182"/>
      <c r="Q10" s="99" t="str">
        <f>IF(ISNA(MATCH(CONCATENATE(Q$2,$A10),'Výsledková listina'!$Q:$Q,0)),"",INDEX('Výsledková listina'!$B:$B,MATCH(CONCATENATE(Q$2,$A10),'Výsledková listina'!$Q:$Q,0),1))</f>
        <v>Hladík Roman</v>
      </c>
      <c r="R10" s="176">
        <v>9990</v>
      </c>
      <c r="S10" s="177">
        <f t="shared" si="6"/>
        <v>5</v>
      </c>
      <c r="T10" s="178">
        <f t="shared" si="7"/>
        <v>5</v>
      </c>
      <c r="U10" s="182"/>
      <c r="V10" s="99" t="str">
        <f>IF(ISNA(MATCH(CONCATENATE(V$2,$A10),'Výsledková listina'!$Q:$Q,0)),"",INDEX('Výsledková listina'!$B:$B,MATCH(CONCATENATE(V$2,$A10),'Výsledková listina'!$Q:$Q,0),1))</f>
        <v>Varga Ladislav</v>
      </c>
      <c r="W10" s="176">
        <v>15700</v>
      </c>
      <c r="X10" s="177">
        <f t="shared" si="8"/>
        <v>3</v>
      </c>
      <c r="Y10" s="178">
        <f t="shared" si="9"/>
        <v>3</v>
      </c>
      <c r="Z10" s="182"/>
      <c r="AA10" s="99" t="str">
        <f>IF(ISNA(MATCH(CONCATENATE(AA$2,$A10),'Výsledková listina'!$Q:$Q,0)),"",INDEX('Výsledková listina'!$B:$B,MATCH(CONCATENATE(AA$2,$A10),'Výsledková listina'!$Q:$Q,0),1))</f>
        <v>Hejda Richard</v>
      </c>
      <c r="AB10" s="176">
        <v>11410</v>
      </c>
      <c r="AC10" s="177">
        <f t="shared" si="10"/>
        <v>3</v>
      </c>
      <c r="AD10" s="178">
        <f t="shared" si="11"/>
        <v>3</v>
      </c>
      <c r="AE10" s="182"/>
      <c r="AF10" s="99" t="str">
        <f>IF(ISNA(MATCH(CONCATENATE(AF$2,$A10),'Výsledková listina'!$Q:$Q,0)),"",INDEX('Výsledková listina'!$B:$B,MATCH(CONCATENATE(AF$2,$A10),'Výsledková listina'!$Q:$Q,0),1))</f>
        <v>Šitina Josef</v>
      </c>
      <c r="AG10" s="176">
        <v>11400</v>
      </c>
      <c r="AH10" s="177">
        <f t="shared" si="12"/>
        <v>7</v>
      </c>
      <c r="AI10" s="178">
        <f t="shared" si="13"/>
        <v>7</v>
      </c>
      <c r="AJ10" s="182"/>
      <c r="AK10" s="99" t="str">
        <f>IF(ISNA(MATCH(CONCATENATE(AK$2,$A10),'Výsledková listina'!$Q:$Q,0)),"",INDEX('Výsledková listina'!$B:$B,MATCH(CONCATENATE(AK$2,$A10),'Výsledková listina'!$Q:$Q,0),1))</f>
        <v>Pluchta Petr</v>
      </c>
      <c r="AL10" s="176">
        <v>7000</v>
      </c>
      <c r="AM10" s="177">
        <f t="shared" si="14"/>
        <v>12</v>
      </c>
      <c r="AN10" s="178">
        <f t="shared" si="15"/>
        <v>12</v>
      </c>
      <c r="AO10" s="182"/>
      <c r="AP10" s="99" t="str">
        <f>IF(ISNA(MATCH(CONCATENATE(AP$2,$A10),'Výsledková listina'!$Q:$Q,0)),"",INDEX('Výsledková listina'!$B:$B,MATCH(CONCATENATE(AP$2,$A10),'Výsledková listina'!$Q:$Q,0),1))</f>
        <v>Kolařík David ing.</v>
      </c>
      <c r="AQ10" s="176">
        <v>10330</v>
      </c>
      <c r="AR10" s="177">
        <f t="shared" si="16"/>
        <v>8</v>
      </c>
      <c r="AS10" s="178">
        <f t="shared" si="17"/>
        <v>8</v>
      </c>
      <c r="AT10" s="182"/>
      <c r="AU10" s="99">
        <f>IF(ISNA(MATCH(CONCATENATE(AU$2,$A10),'Výsledková listina'!$Q:$Q,0)),"",INDEX('Výsledková listina'!$B:$B,MATCH(CONCATENATE(AU$2,$A10),'Výsledková listina'!$Q:$Q,0),1))</f>
      </c>
      <c r="AV10" s="176"/>
      <c r="AW10" s="177">
        <f t="shared" si="18"/>
      </c>
      <c r="AX10" s="178">
        <f t="shared" si="19"/>
      </c>
      <c r="AY10" s="182"/>
      <c r="AZ10" s="99">
        <f>IF(ISNA(MATCH(CONCATENATE(AZ$2,$A10),'Výsledková listina'!$Q:$Q,0)),"",INDEX('Výsledková listina'!$B:$B,MATCH(CONCATENATE(AZ$2,$A10),'Výsledková listina'!$Q:$Q,0),1))</f>
      </c>
      <c r="BA10" s="176"/>
      <c r="BB10" s="177">
        <f t="shared" si="20"/>
      </c>
      <c r="BC10" s="178">
        <f t="shared" si="21"/>
      </c>
      <c r="BD10" s="182"/>
      <c r="BE10" s="99">
        <f>IF(ISNA(MATCH(CONCATENATE(BE$2,$A10),'Výsledková listina'!$Q:$Q,0)),"",INDEX('Výsledková listina'!$B:$B,MATCH(CONCATENATE(BE$2,$A10),'Výsledková listina'!$Q:$Q,0),1))</f>
      </c>
      <c r="BF10" s="176"/>
      <c r="BG10" s="177">
        <f t="shared" si="22"/>
      </c>
      <c r="BH10" s="178">
        <f t="shared" si="23"/>
      </c>
      <c r="BI10" s="182"/>
      <c r="BJ10" s="99">
        <f>IF(ISNA(MATCH(CONCATENATE(BJ$2,$A10),'Výsledková listina'!$Q:$Q,0)),"",INDEX('Výsledková listina'!$B:$B,MATCH(CONCATENATE(BJ$2,$A10),'Výsledková listina'!$Q:$Q,0),1))</f>
      </c>
      <c r="BK10" s="176"/>
      <c r="BL10" s="177">
        <f t="shared" si="24"/>
      </c>
      <c r="BM10" s="178">
        <f t="shared" si="25"/>
      </c>
      <c r="BN10" s="182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</row>
    <row r="11" spans="1:174" s="181" customFormat="1" ht="34.5" customHeight="1">
      <c r="A11" s="212">
        <v>8</v>
      </c>
      <c r="B11" s="99" t="str">
        <f>IF(ISNA(MATCH(CONCATENATE(B$2,$A11),'Výsledková listina'!$Q:$Q,0)),"",INDEX('Výsledková listina'!$B:$B,MATCH(CONCATENATE(B$2,$A11),'Výsledková listina'!$Q:$Q,0),1))</f>
        <v>Krýsl Pavel</v>
      </c>
      <c r="C11" s="176">
        <v>5840</v>
      </c>
      <c r="D11" s="177">
        <f t="shared" si="0"/>
        <v>8</v>
      </c>
      <c r="E11" s="178">
        <f t="shared" si="1"/>
        <v>8</v>
      </c>
      <c r="F11" s="182"/>
      <c r="G11" s="99" t="str">
        <f>IF(ISNA(MATCH(CONCATENATE(G$2,$A11),'Výsledková listina'!$Q:$Q,0)),"",INDEX('Výsledková listina'!$B:$B,MATCH(CONCATENATE(G$2,$A11),'Výsledková listina'!$Q:$Q,0),1))</f>
        <v>Novák Jan</v>
      </c>
      <c r="H11" s="176">
        <v>5540</v>
      </c>
      <c r="I11" s="177">
        <f t="shared" si="2"/>
        <v>9</v>
      </c>
      <c r="J11" s="178">
        <f t="shared" si="3"/>
        <v>9</v>
      </c>
      <c r="K11" s="182"/>
      <c r="L11" s="99" t="str">
        <f>IF(ISNA(MATCH(CONCATENATE(L$2,$A11),'Výsledková listina'!$Q:$Q,0)),"",INDEX('Výsledková listina'!$B:$B,MATCH(CONCATENATE(L$2,$A11),'Výsledková listina'!$Q:$Q,0),1))</f>
        <v>Zumr Michal</v>
      </c>
      <c r="M11" s="176">
        <v>5960</v>
      </c>
      <c r="N11" s="177">
        <f t="shared" si="4"/>
        <v>11</v>
      </c>
      <c r="O11" s="178">
        <f t="shared" si="5"/>
        <v>11</v>
      </c>
      <c r="P11" s="182"/>
      <c r="Q11" s="99" t="str">
        <f>IF(ISNA(MATCH(CONCATENATE(Q$2,$A11),'Výsledková listina'!$Q:$Q,0)),"",INDEX('Výsledková listina'!$B:$B,MATCH(CONCATENATE(Q$2,$A11),'Výsledková listina'!$Q:$Q,0),1))</f>
        <v>Špitálský Václav</v>
      </c>
      <c r="R11" s="176">
        <v>1130</v>
      </c>
      <c r="S11" s="177">
        <f t="shared" si="6"/>
        <v>15</v>
      </c>
      <c r="T11" s="178">
        <f t="shared" si="7"/>
        <v>15</v>
      </c>
      <c r="U11" s="182"/>
      <c r="V11" s="99" t="str">
        <f>IF(ISNA(MATCH(CONCATENATE(V$2,$A11),'Výsledková listina'!$Q:$Q,0)),"",INDEX('Výsledková listina'!$B:$B,MATCH(CONCATENATE(V$2,$A11),'Výsledková listina'!$Q:$Q,0),1))</f>
        <v>Šetina Michal</v>
      </c>
      <c r="W11" s="176">
        <v>10810</v>
      </c>
      <c r="X11" s="177">
        <f t="shared" si="8"/>
        <v>7</v>
      </c>
      <c r="Y11" s="178">
        <f t="shared" si="9"/>
        <v>7</v>
      </c>
      <c r="Z11" s="182"/>
      <c r="AA11" s="99" t="str">
        <f>IF(ISNA(MATCH(CONCATENATE(AA$2,$A11),'Výsledková listina'!$Q:$Q,0)),"",INDEX('Výsledková listina'!$B:$B,MATCH(CONCATENATE(AA$2,$A11),'Výsledková listina'!$Q:$Q,0),1))</f>
        <v>Černý Radek</v>
      </c>
      <c r="AB11" s="176">
        <v>9660</v>
      </c>
      <c r="AC11" s="177">
        <f t="shared" si="10"/>
        <v>5</v>
      </c>
      <c r="AD11" s="178">
        <f t="shared" si="11"/>
        <v>5</v>
      </c>
      <c r="AE11" s="182"/>
      <c r="AF11" s="99" t="str">
        <f>IF(ISNA(MATCH(CONCATENATE(AF$2,$A11),'Výsledková listina'!$Q:$Q,0)),"",INDEX('Výsledková listina'!$B:$B,MATCH(CONCATENATE(AF$2,$A11),'Výsledková listina'!$Q:$Q,0),1))</f>
        <v>Špitálská Aneta</v>
      </c>
      <c r="AG11" s="176">
        <v>1610</v>
      </c>
      <c r="AH11" s="177">
        <f t="shared" si="12"/>
        <v>15</v>
      </c>
      <c r="AI11" s="178">
        <f t="shared" si="13"/>
        <v>15</v>
      </c>
      <c r="AJ11" s="182"/>
      <c r="AK11" s="99" t="str">
        <f>IF(ISNA(MATCH(CONCATENATE(AK$2,$A11),'Výsledková listina'!$Q:$Q,0)),"",INDEX('Výsledková listina'!$B:$B,MATCH(CONCATENATE(AK$2,$A11),'Výsledková listina'!$Q:$Q,0),1))</f>
        <v>Dvořák Dominik</v>
      </c>
      <c r="AL11" s="176">
        <v>10120</v>
      </c>
      <c r="AM11" s="177">
        <f t="shared" si="14"/>
        <v>6</v>
      </c>
      <c r="AN11" s="178">
        <f t="shared" si="15"/>
        <v>6</v>
      </c>
      <c r="AO11" s="182"/>
      <c r="AP11" s="99" t="str">
        <f>IF(ISNA(MATCH(CONCATENATE(AP$2,$A11),'Výsledková listina'!$Q:$Q,0)),"",INDEX('Výsledková listina'!$B:$B,MATCH(CONCATENATE(AP$2,$A11),'Výsledková listina'!$Q:$Q,0),1))</f>
        <v>Kodad Daniel</v>
      </c>
      <c r="AQ11" s="176">
        <v>8020</v>
      </c>
      <c r="AR11" s="177">
        <f t="shared" si="16"/>
        <v>14</v>
      </c>
      <c r="AS11" s="178">
        <f t="shared" si="17"/>
        <v>14</v>
      </c>
      <c r="AT11" s="182"/>
      <c r="AU11" s="99">
        <f>IF(ISNA(MATCH(CONCATENATE(AU$2,$A11),'Výsledková listina'!$Q:$Q,0)),"",INDEX('Výsledková listina'!$B:$B,MATCH(CONCATENATE(AU$2,$A11),'Výsledková listina'!$Q:$Q,0),1))</f>
      </c>
      <c r="AV11" s="176"/>
      <c r="AW11" s="177">
        <f t="shared" si="18"/>
      </c>
      <c r="AX11" s="178">
        <f t="shared" si="19"/>
      </c>
      <c r="AY11" s="182"/>
      <c r="AZ11" s="99">
        <f>IF(ISNA(MATCH(CONCATENATE(AZ$2,$A11),'Výsledková listina'!$Q:$Q,0)),"",INDEX('Výsledková listina'!$B:$B,MATCH(CONCATENATE(AZ$2,$A11),'Výsledková listina'!$Q:$Q,0),1))</f>
      </c>
      <c r="BA11" s="176"/>
      <c r="BB11" s="177">
        <f t="shared" si="20"/>
      </c>
      <c r="BC11" s="178">
        <f t="shared" si="21"/>
      </c>
      <c r="BD11" s="182"/>
      <c r="BE11" s="99">
        <f>IF(ISNA(MATCH(CONCATENATE(BE$2,$A11),'Výsledková listina'!$Q:$Q,0)),"",INDEX('Výsledková listina'!$B:$B,MATCH(CONCATENATE(BE$2,$A11),'Výsledková listina'!$Q:$Q,0),1))</f>
      </c>
      <c r="BF11" s="176"/>
      <c r="BG11" s="177">
        <f t="shared" si="22"/>
      </c>
      <c r="BH11" s="178">
        <f t="shared" si="23"/>
      </c>
      <c r="BI11" s="182"/>
      <c r="BJ11" s="99">
        <f>IF(ISNA(MATCH(CONCATENATE(BJ$2,$A11),'Výsledková listina'!$Q:$Q,0)),"",INDEX('Výsledková listina'!$B:$B,MATCH(CONCATENATE(BJ$2,$A11),'Výsledková listina'!$Q:$Q,0),1))</f>
      </c>
      <c r="BK11" s="176"/>
      <c r="BL11" s="177">
        <f t="shared" si="24"/>
      </c>
      <c r="BM11" s="178">
        <f t="shared" si="25"/>
      </c>
      <c r="BN11" s="182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</row>
    <row r="12" spans="1:174" s="181" customFormat="1" ht="34.5" customHeight="1">
      <c r="A12" s="212">
        <v>9</v>
      </c>
      <c r="B12" s="99" t="str">
        <f>IF(ISNA(MATCH(CONCATENATE(B$2,$A12),'Výsledková listina'!$Q:$Q,0)),"",INDEX('Výsledková listina'!$B:$B,MATCH(CONCATENATE(B$2,$A12),'Výsledková listina'!$Q:$Q,0),1))</f>
        <v>Brzobohatý Jan</v>
      </c>
      <c r="C12" s="176">
        <v>1060</v>
      </c>
      <c r="D12" s="177">
        <f t="shared" si="0"/>
        <v>14</v>
      </c>
      <c r="E12" s="178">
        <f t="shared" si="1"/>
        <v>14</v>
      </c>
      <c r="F12" s="182"/>
      <c r="G12" s="99" t="str">
        <f>IF(ISNA(MATCH(CONCATENATE(G$2,$A12),'Výsledková listina'!$Q:$Q,0)),"",INDEX('Výsledková listina'!$B:$B,MATCH(CONCATENATE(G$2,$A12),'Výsledková listina'!$Q:$Q,0),1))</f>
        <v>Procházka Martin</v>
      </c>
      <c r="H12" s="176">
        <v>4660</v>
      </c>
      <c r="I12" s="177">
        <f t="shared" si="2"/>
        <v>12</v>
      </c>
      <c r="J12" s="178">
        <f t="shared" si="3"/>
        <v>12</v>
      </c>
      <c r="K12" s="182"/>
      <c r="L12" s="99" t="str">
        <f>IF(ISNA(MATCH(CONCATENATE(L$2,$A12),'Výsledková listina'!$Q:$Q,0)),"",INDEX('Výsledková listina'!$B:$B,MATCH(CONCATENATE(L$2,$A12),'Výsledková listina'!$Q:$Q,0),1))</f>
        <v>Mucala David</v>
      </c>
      <c r="M12" s="176">
        <v>9800</v>
      </c>
      <c r="N12" s="177">
        <f t="shared" si="4"/>
        <v>6</v>
      </c>
      <c r="O12" s="178">
        <f t="shared" si="5"/>
        <v>6</v>
      </c>
      <c r="P12" s="182"/>
      <c r="Q12" s="99" t="str">
        <f>IF(ISNA(MATCH(CONCATENATE(Q$2,$A12),'Výsledková listina'!$Q:$Q,0)),"",INDEX('Výsledková listina'!$B:$B,MATCH(CONCATENATE(Q$2,$A12),'Výsledková listina'!$Q:$Q,0),1))</f>
        <v>Lang Radek</v>
      </c>
      <c r="R12" s="176">
        <v>0</v>
      </c>
      <c r="S12" s="177">
        <f>IF(R12="","",RANK(R12,R:R,0))</f>
        <v>16</v>
      </c>
      <c r="T12" s="178">
        <f>IF(R12="","",((RANK(R12,R:R,0))+(FREQUENCY(S:S,S12)))/2)</f>
        <v>16</v>
      </c>
      <c r="U12" s="182"/>
      <c r="V12" s="99" t="str">
        <f>IF(ISNA(MATCH(CONCATENATE(V$2,$A12),'Výsledková listina'!$Q:$Q,0)),"",INDEX('Výsledková listina'!$B:$B,MATCH(CONCATENATE(V$2,$A12),'Výsledková listina'!$Q:$Q,0),1))</f>
        <v>Pecka Zdeněk</v>
      </c>
      <c r="W12" s="176">
        <v>7930</v>
      </c>
      <c r="X12" s="177">
        <f t="shared" si="8"/>
        <v>11</v>
      </c>
      <c r="Y12" s="178">
        <f t="shared" si="9"/>
        <v>11</v>
      </c>
      <c r="Z12" s="182"/>
      <c r="AA12" s="99" t="str">
        <f>IF(ISNA(MATCH(CONCATENATE(AA$2,$A12),'Výsledková listina'!$Q:$Q,0)),"",INDEX('Výsledková listina'!$B:$B,MATCH(CONCATENATE(AA$2,$A12),'Výsledková listina'!$Q:$Q,0),1))</f>
        <v>Nimko Maryan</v>
      </c>
      <c r="AB12" s="176">
        <v>3040</v>
      </c>
      <c r="AC12" s="177">
        <f t="shared" si="10"/>
        <v>13</v>
      </c>
      <c r="AD12" s="178">
        <f t="shared" si="11"/>
        <v>13</v>
      </c>
      <c r="AE12" s="182"/>
      <c r="AF12" s="99" t="str">
        <f>IF(ISNA(MATCH(CONCATENATE(AF$2,$A12),'Výsledková listina'!$Q:$Q,0)),"",INDEX('Výsledková listina'!$B:$B,MATCH(CONCATENATE(AF$2,$A12),'Výsledková listina'!$Q:$Q,0),1))</f>
        <v>Bulak Serhiy</v>
      </c>
      <c r="AG12" s="176">
        <v>3180</v>
      </c>
      <c r="AH12" s="177">
        <f t="shared" si="12"/>
        <v>14</v>
      </c>
      <c r="AI12" s="178">
        <f t="shared" si="13"/>
        <v>14</v>
      </c>
      <c r="AJ12" s="182"/>
      <c r="AK12" s="99" t="str">
        <f>IF(ISNA(MATCH(CONCATENATE(AK$2,$A12),'Výsledková listina'!$Q:$Q,0)),"",INDEX('Výsledková listina'!$B:$B,MATCH(CONCATENATE(AK$2,$A12),'Výsledková listina'!$Q:$Q,0),1))</f>
        <v>Man Lukáš </v>
      </c>
      <c r="AL12" s="176">
        <v>6380</v>
      </c>
      <c r="AM12" s="177">
        <f t="shared" si="14"/>
        <v>15</v>
      </c>
      <c r="AN12" s="178">
        <f t="shared" si="15"/>
        <v>15</v>
      </c>
      <c r="AO12" s="182"/>
      <c r="AP12" s="99" t="str">
        <f>IF(ISNA(MATCH(CONCATENATE(AP$2,$A12),'Výsledková listina'!$Q:$Q,0)),"",INDEX('Výsledková listina'!$B:$B,MATCH(CONCATENATE(AP$2,$A12),'Výsledková listina'!$Q:$Q,0),1))</f>
        <v>Hanousek Jiří</v>
      </c>
      <c r="AQ12" s="176">
        <v>12090</v>
      </c>
      <c r="AR12" s="177">
        <f t="shared" si="16"/>
        <v>6</v>
      </c>
      <c r="AS12" s="178">
        <f t="shared" si="17"/>
        <v>6</v>
      </c>
      <c r="AT12" s="182"/>
      <c r="AU12" s="99">
        <f>IF(ISNA(MATCH(CONCATENATE(AU$2,$A12),'Výsledková listina'!$Q:$Q,0)),"",INDEX('Výsledková listina'!$B:$B,MATCH(CONCATENATE(AU$2,$A12),'Výsledková listina'!$Q:$Q,0),1))</f>
      </c>
      <c r="AV12" s="176"/>
      <c r="AW12" s="177">
        <f t="shared" si="18"/>
      </c>
      <c r="AX12" s="178">
        <f t="shared" si="19"/>
      </c>
      <c r="AY12" s="182"/>
      <c r="AZ12" s="99">
        <f>IF(ISNA(MATCH(CONCATENATE(AZ$2,$A12),'Výsledková listina'!$Q:$Q,0)),"",INDEX('Výsledková listina'!$B:$B,MATCH(CONCATENATE(AZ$2,$A12),'Výsledková listina'!$Q:$Q,0),1))</f>
      </c>
      <c r="BA12" s="176"/>
      <c r="BB12" s="177">
        <f t="shared" si="20"/>
      </c>
      <c r="BC12" s="178">
        <f t="shared" si="21"/>
      </c>
      <c r="BD12" s="182"/>
      <c r="BE12" s="99">
        <f>IF(ISNA(MATCH(CONCATENATE(BE$2,$A12),'Výsledková listina'!$Q:$Q,0)),"",INDEX('Výsledková listina'!$B:$B,MATCH(CONCATENATE(BE$2,$A12),'Výsledková listina'!$Q:$Q,0),1))</f>
      </c>
      <c r="BF12" s="176"/>
      <c r="BG12" s="177">
        <f t="shared" si="22"/>
      </c>
      <c r="BH12" s="178">
        <f t="shared" si="23"/>
      </c>
      <c r="BI12" s="182"/>
      <c r="BJ12" s="99">
        <f>IF(ISNA(MATCH(CONCATENATE(BJ$2,$A12),'Výsledková listina'!$Q:$Q,0)),"",INDEX('Výsledková listina'!$B:$B,MATCH(CONCATENATE(BJ$2,$A12),'Výsledková listina'!$Q:$Q,0),1))</f>
      </c>
      <c r="BK12" s="176"/>
      <c r="BL12" s="177">
        <f t="shared" si="24"/>
      </c>
      <c r="BM12" s="178">
        <f t="shared" si="25"/>
      </c>
      <c r="BN12" s="182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</row>
    <row r="13" spans="1:174" s="181" customFormat="1" ht="34.5" customHeight="1">
      <c r="A13" s="212">
        <v>10</v>
      </c>
      <c r="B13" s="99" t="str">
        <f>IF(ISNA(MATCH(CONCATENATE(B$2,$A13),'Výsledková listina'!$Q:$Q,0)),"",INDEX('Výsledková listina'!$B:$B,MATCH(CONCATENATE(B$2,$A13),'Výsledková listina'!$Q:$Q,0),1))</f>
        <v>Špitálský Václav ml.</v>
      </c>
      <c r="C13" s="176">
        <v>685</v>
      </c>
      <c r="D13" s="177">
        <f t="shared" si="0"/>
        <v>15</v>
      </c>
      <c r="E13" s="178">
        <f t="shared" si="1"/>
        <v>15</v>
      </c>
      <c r="F13" s="182"/>
      <c r="G13" s="99" t="str">
        <f>IF(ISNA(MATCH(CONCATENATE(G$2,$A13),'Výsledková listina'!$Q:$Q,0)),"",INDEX('Výsledková listina'!$B:$B,MATCH(CONCATENATE(G$2,$A13),'Výsledková listina'!$Q:$Q,0),1))</f>
        <v>Rada Milan</v>
      </c>
      <c r="H13" s="176">
        <v>11230</v>
      </c>
      <c r="I13" s="177">
        <f t="shared" si="2"/>
        <v>3</v>
      </c>
      <c r="J13" s="178">
        <f t="shared" si="3"/>
        <v>3</v>
      </c>
      <c r="K13" s="182"/>
      <c r="L13" s="99" t="str">
        <f>IF(ISNA(MATCH(CONCATENATE(L$2,$A13),'Výsledková listina'!$Q:$Q,0)),"",INDEX('Výsledková listina'!$B:$B,MATCH(CONCATENATE(L$2,$A13),'Výsledková listina'!$Q:$Q,0),1))</f>
        <v>Dědík Vladimír</v>
      </c>
      <c r="M13" s="176">
        <v>5425</v>
      </c>
      <c r="N13" s="177">
        <f t="shared" si="4"/>
        <v>12</v>
      </c>
      <c r="O13" s="178">
        <f t="shared" si="5"/>
        <v>12</v>
      </c>
      <c r="P13" s="182"/>
      <c r="Q13" s="99" t="str">
        <f>IF(ISNA(MATCH(CONCATENATE(Q$2,$A13),'Výsledková listina'!$Q:$Q,0)),"",INDEX('Výsledková listina'!$B:$B,MATCH(CONCATENATE(Q$2,$A13),'Výsledková listina'!$Q:$Q,0),1))</f>
        <v>Křivánek Miroslav</v>
      </c>
      <c r="R13" s="176">
        <v>4870</v>
      </c>
      <c r="S13" s="177">
        <f t="shared" si="6"/>
        <v>13</v>
      </c>
      <c r="T13" s="178">
        <f t="shared" si="7"/>
        <v>13</v>
      </c>
      <c r="U13" s="182"/>
      <c r="V13" s="99" t="str">
        <f>IF(ISNA(MATCH(CONCATENATE(V$2,$A13),'Výsledková listina'!$Q:$Q,0)),"",INDEX('Výsledková listina'!$B:$B,MATCH(CONCATENATE(V$2,$A13),'Výsledková listina'!$Q:$Q,0),1))</f>
        <v>Vrtěl Ondřej</v>
      </c>
      <c r="W13" s="176">
        <v>22350</v>
      </c>
      <c r="X13" s="177">
        <f t="shared" si="8"/>
        <v>1</v>
      </c>
      <c r="Y13" s="178">
        <f t="shared" si="9"/>
        <v>1</v>
      </c>
      <c r="Z13" s="182"/>
      <c r="AA13" s="99" t="str">
        <f>IF(ISNA(MATCH(CONCATENATE(AA$2,$A13),'Výsledková listina'!$Q:$Q,0)),"",INDEX('Výsledková listina'!$B:$B,MATCH(CONCATENATE(AA$2,$A13),'Výsledková listina'!$Q:$Q,0),1))</f>
        <v>Radil Miroslav</v>
      </c>
      <c r="AB13" s="176">
        <v>10400</v>
      </c>
      <c r="AC13" s="177">
        <f t="shared" si="10"/>
        <v>4</v>
      </c>
      <c r="AD13" s="178">
        <f t="shared" si="11"/>
        <v>4</v>
      </c>
      <c r="AE13" s="182"/>
      <c r="AF13" s="99" t="str">
        <f>IF(ISNA(MATCH(CONCATENATE(AF$2,$A13),'Výsledková listina'!$Q:$Q,0)),"",INDEX('Výsledková listina'!$B:$B,MATCH(CONCATENATE(AF$2,$A13),'Výsledková listina'!$Q:$Q,0),1))</f>
        <v>Douša Jan</v>
      </c>
      <c r="AG13" s="176">
        <v>8640</v>
      </c>
      <c r="AH13" s="177">
        <f t="shared" si="12"/>
        <v>9</v>
      </c>
      <c r="AI13" s="178">
        <f t="shared" si="13"/>
        <v>9</v>
      </c>
      <c r="AJ13" s="182"/>
      <c r="AK13" s="99" t="str">
        <f>IF(ISNA(MATCH(CONCATENATE(AK$2,$A13),'Výsledková listina'!$Q:$Q,0)),"",INDEX('Výsledková listina'!$B:$B,MATCH(CONCATENATE(AK$2,$A13),'Výsledková listina'!$Q:$Q,0),1))</f>
        <v>Škrobánek Michal</v>
      </c>
      <c r="AL13" s="176">
        <v>10060</v>
      </c>
      <c r="AM13" s="177">
        <f t="shared" si="14"/>
        <v>7</v>
      </c>
      <c r="AN13" s="178">
        <f t="shared" si="15"/>
        <v>7</v>
      </c>
      <c r="AO13" s="182"/>
      <c r="AP13" s="99" t="str">
        <f>IF(ISNA(MATCH(CONCATENATE(AP$2,$A13),'Výsledková listina'!$Q:$Q,0)),"",INDEX('Výsledková listina'!$B:$B,MATCH(CONCATENATE(AP$2,$A13),'Výsledková listina'!$Q:$Q,0),1))</f>
        <v>Kejnar Zdeněk</v>
      </c>
      <c r="AQ13" s="176">
        <v>9980</v>
      </c>
      <c r="AR13" s="177">
        <f t="shared" si="16"/>
        <v>9</v>
      </c>
      <c r="AS13" s="178">
        <f t="shared" si="17"/>
        <v>9</v>
      </c>
      <c r="AT13" s="182"/>
      <c r="AU13" s="99">
        <f>IF(ISNA(MATCH(CONCATENATE(AU$2,$A13),'Výsledková listina'!$Q:$Q,0)),"",INDEX('Výsledková listina'!$B:$B,MATCH(CONCATENATE(AU$2,$A13),'Výsledková listina'!$Q:$Q,0),1))</f>
      </c>
      <c r="AV13" s="176"/>
      <c r="AW13" s="177">
        <f t="shared" si="18"/>
      </c>
      <c r="AX13" s="178">
        <f t="shared" si="19"/>
      </c>
      <c r="AY13" s="182"/>
      <c r="AZ13" s="99">
        <f>IF(ISNA(MATCH(CONCATENATE(AZ$2,$A13),'Výsledková listina'!$Q:$Q,0)),"",INDEX('Výsledková listina'!$B:$B,MATCH(CONCATENATE(AZ$2,$A13),'Výsledková listina'!$Q:$Q,0),1))</f>
      </c>
      <c r="BA13" s="176"/>
      <c r="BB13" s="177">
        <f t="shared" si="20"/>
      </c>
      <c r="BC13" s="178">
        <f t="shared" si="21"/>
      </c>
      <c r="BD13" s="182"/>
      <c r="BE13" s="99">
        <f>IF(ISNA(MATCH(CONCATENATE(BE$2,$A13),'Výsledková listina'!$Q:$Q,0)),"",INDEX('Výsledková listina'!$B:$B,MATCH(CONCATENATE(BE$2,$A13),'Výsledková listina'!$Q:$Q,0),1))</f>
      </c>
      <c r="BF13" s="176"/>
      <c r="BG13" s="177">
        <f t="shared" si="22"/>
      </c>
      <c r="BH13" s="178">
        <f t="shared" si="23"/>
      </c>
      <c r="BI13" s="182"/>
      <c r="BJ13" s="99">
        <f>IF(ISNA(MATCH(CONCATENATE(BJ$2,$A13),'Výsledková listina'!$Q:$Q,0)),"",INDEX('Výsledková listina'!$B:$B,MATCH(CONCATENATE(BJ$2,$A13),'Výsledková listina'!$Q:$Q,0),1))</f>
      </c>
      <c r="BK13" s="176"/>
      <c r="BL13" s="177">
        <f t="shared" si="24"/>
      </c>
      <c r="BM13" s="178">
        <f t="shared" si="25"/>
      </c>
      <c r="BN13" s="182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</row>
    <row r="14" spans="1:174" s="181" customFormat="1" ht="34.5" customHeight="1">
      <c r="A14" s="212">
        <v>11</v>
      </c>
      <c r="B14" s="99" t="str">
        <f>IF(ISNA(MATCH(CONCATENATE(B$2,$A14),'Výsledková listina'!$Q:$Q,0)),"",INDEX('Výsledková listina'!$B:$B,MATCH(CONCATENATE(B$2,$A14),'Výsledková listina'!$Q:$Q,0),1))</f>
        <v>Vacek Jan</v>
      </c>
      <c r="C14" s="176">
        <v>2510</v>
      </c>
      <c r="D14" s="177">
        <f t="shared" si="0"/>
        <v>12</v>
      </c>
      <c r="E14" s="178">
        <f t="shared" si="1"/>
        <v>12</v>
      </c>
      <c r="F14" s="182"/>
      <c r="G14" s="99" t="str">
        <f>IF(ISNA(MATCH(CONCATENATE(G$2,$A14),'Výsledková listina'!$Q:$Q,0)),"",INDEX('Výsledková listina'!$B:$B,MATCH(CONCATENATE(G$2,$A14),'Výsledková listina'!$Q:$Q,0),1))</f>
        <v>Burak Oleg</v>
      </c>
      <c r="H14" s="176">
        <v>5260</v>
      </c>
      <c r="I14" s="177">
        <f t="shared" si="2"/>
        <v>11</v>
      </c>
      <c r="J14" s="178">
        <f t="shared" si="3"/>
        <v>11</v>
      </c>
      <c r="K14" s="182"/>
      <c r="L14" s="99" t="str">
        <f>IF(ISNA(MATCH(CONCATENATE(L$2,$A14),'Výsledková listina'!$Q:$Q,0)),"",INDEX('Výsledková listina'!$B:$B,MATCH(CONCATENATE(L$2,$A14),'Výsledková listina'!$Q:$Q,0),1))</f>
        <v>Konopásek Richard</v>
      </c>
      <c r="M14" s="176">
        <v>7355</v>
      </c>
      <c r="N14" s="177">
        <f t="shared" si="4"/>
        <v>9</v>
      </c>
      <c r="O14" s="178">
        <f t="shared" si="5"/>
        <v>9</v>
      </c>
      <c r="P14" s="182"/>
      <c r="Q14" s="99" t="str">
        <f>IF(ISNA(MATCH(CONCATENATE(Q$2,$A14),'Výsledková listina'!$Q:$Q,0)),"",INDEX('Výsledková listina'!$B:$B,MATCH(CONCATENATE(Q$2,$A14),'Výsledková listina'!$Q:$Q,0),1))</f>
        <v>Konopásek Josef</v>
      </c>
      <c r="R14" s="176">
        <v>17130</v>
      </c>
      <c r="S14" s="177">
        <f t="shared" si="6"/>
        <v>1</v>
      </c>
      <c r="T14" s="178">
        <f t="shared" si="7"/>
        <v>1</v>
      </c>
      <c r="U14" s="182"/>
      <c r="V14" s="99" t="str">
        <f>IF(ISNA(MATCH(CONCATENATE(V$2,$A14),'Výsledková listina'!$Q:$Q,0)),"",INDEX('Výsledková listina'!$B:$B,MATCH(CONCATENATE(V$2,$A14),'Výsledková listina'!$Q:$Q,0),1))</f>
        <v>Králová Nela</v>
      </c>
      <c r="W14" s="176">
        <v>2730</v>
      </c>
      <c r="X14" s="177">
        <f t="shared" si="8"/>
        <v>15</v>
      </c>
      <c r="Y14" s="178">
        <f t="shared" si="9"/>
        <v>15</v>
      </c>
      <c r="Z14" s="182"/>
      <c r="AA14" s="99" t="str">
        <f>IF(ISNA(MATCH(CONCATENATE(AA$2,$A14),'Výsledková listina'!$Q:$Q,0)),"",INDEX('Výsledková listina'!$B:$B,MATCH(CONCATENATE(AA$2,$A14),'Výsledková listina'!$Q:$Q,0),1))</f>
        <v>Stárek Jan</v>
      </c>
      <c r="AB14" s="176">
        <v>8850</v>
      </c>
      <c r="AC14" s="177">
        <f t="shared" si="10"/>
        <v>6</v>
      </c>
      <c r="AD14" s="178">
        <f t="shared" si="11"/>
        <v>6</v>
      </c>
      <c r="AE14" s="182"/>
      <c r="AF14" s="99" t="str">
        <f>IF(ISNA(MATCH(CONCATENATE(AF$2,$A14),'Výsledková listina'!$Q:$Q,0)),"",INDEX('Výsledková listina'!$B:$B,MATCH(CONCATENATE(AF$2,$A14),'Výsledková listina'!$Q:$Q,0),1))</f>
        <v>Bartoň Štěpán</v>
      </c>
      <c r="AG14" s="176">
        <v>6510</v>
      </c>
      <c r="AH14" s="177">
        <f t="shared" si="12"/>
        <v>11</v>
      </c>
      <c r="AI14" s="178">
        <f t="shared" si="13"/>
        <v>11</v>
      </c>
      <c r="AJ14" s="182"/>
      <c r="AK14" s="99" t="str">
        <f>IF(ISNA(MATCH(CONCATENATE(AK$2,$A14),'Výsledková listina'!$Q:$Q,0)),"",INDEX('Výsledková listina'!$B:$B,MATCH(CONCATENATE(AK$2,$A14),'Výsledková listina'!$Q:$Q,0),1))</f>
        <v>Fiala Michal </v>
      </c>
      <c r="AL14" s="176">
        <v>6540</v>
      </c>
      <c r="AM14" s="177">
        <f t="shared" si="14"/>
        <v>14</v>
      </c>
      <c r="AN14" s="178">
        <f t="shared" si="15"/>
        <v>14</v>
      </c>
      <c r="AO14" s="182"/>
      <c r="AP14" s="99" t="str">
        <f>IF(ISNA(MATCH(CONCATENATE(AP$2,$A14),'Výsledková listina'!$Q:$Q,0)),"",INDEX('Výsledková listina'!$B:$B,MATCH(CONCATENATE(AP$2,$A14),'Výsledková listina'!$Q:$Q,0),1))</f>
        <v>Kameník Jaroslav</v>
      </c>
      <c r="AQ14" s="176">
        <v>18670</v>
      </c>
      <c r="AR14" s="177">
        <f t="shared" si="16"/>
        <v>3</v>
      </c>
      <c r="AS14" s="178">
        <f t="shared" si="17"/>
        <v>3</v>
      </c>
      <c r="AT14" s="182"/>
      <c r="AU14" s="99">
        <f>IF(ISNA(MATCH(CONCATENATE(AU$2,$A14),'Výsledková listina'!$Q:$Q,0)),"",INDEX('Výsledková listina'!$B:$B,MATCH(CONCATENATE(AU$2,$A14),'Výsledková listina'!$Q:$Q,0),1))</f>
      </c>
      <c r="AV14" s="176"/>
      <c r="AW14" s="177">
        <f t="shared" si="18"/>
      </c>
      <c r="AX14" s="178">
        <f t="shared" si="19"/>
      </c>
      <c r="AY14" s="182"/>
      <c r="AZ14" s="99">
        <f>IF(ISNA(MATCH(CONCATENATE(AZ$2,$A14),'Výsledková listina'!$Q:$Q,0)),"",INDEX('Výsledková listina'!$B:$B,MATCH(CONCATENATE(AZ$2,$A14),'Výsledková listina'!$Q:$Q,0),1))</f>
      </c>
      <c r="BA14" s="176"/>
      <c r="BB14" s="177">
        <f t="shared" si="20"/>
      </c>
      <c r="BC14" s="178">
        <f t="shared" si="21"/>
      </c>
      <c r="BD14" s="182"/>
      <c r="BE14" s="99">
        <f>IF(ISNA(MATCH(CONCATENATE(BE$2,$A14),'Výsledková listina'!$Q:$Q,0)),"",INDEX('Výsledková listina'!$B:$B,MATCH(CONCATENATE(BE$2,$A14),'Výsledková listina'!$Q:$Q,0),1))</f>
      </c>
      <c r="BF14" s="176"/>
      <c r="BG14" s="177">
        <f t="shared" si="22"/>
      </c>
      <c r="BH14" s="178">
        <f t="shared" si="23"/>
      </c>
      <c r="BI14" s="182"/>
      <c r="BJ14" s="99">
        <f>IF(ISNA(MATCH(CONCATENATE(BJ$2,$A14),'Výsledková listina'!$Q:$Q,0)),"",INDEX('Výsledková listina'!$B:$B,MATCH(CONCATENATE(BJ$2,$A14),'Výsledková listina'!$Q:$Q,0),1))</f>
      </c>
      <c r="BK14" s="176"/>
      <c r="BL14" s="177">
        <f t="shared" si="24"/>
      </c>
      <c r="BM14" s="178">
        <f t="shared" si="25"/>
      </c>
      <c r="BN14" s="182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</row>
    <row r="15" spans="1:174" s="181" customFormat="1" ht="34.5" customHeight="1">
      <c r="A15" s="212">
        <v>12</v>
      </c>
      <c r="B15" s="99" t="str">
        <f>IF(ISNA(MATCH(CONCATENATE(B$2,$A15),'Výsledková listina'!$Q:$Q,0)),"",INDEX('Výsledková listina'!$B:$B,MATCH(CONCATENATE(B$2,$A15),'Výsledková listina'!$Q:$Q,0),1))</f>
        <v>Štěpnička Radek</v>
      </c>
      <c r="C15" s="176">
        <v>16885</v>
      </c>
      <c r="D15" s="177">
        <f t="shared" si="0"/>
        <v>2</v>
      </c>
      <c r="E15" s="178">
        <f t="shared" si="1"/>
        <v>2</v>
      </c>
      <c r="F15" s="182"/>
      <c r="G15" s="99" t="str">
        <f>IF(ISNA(MATCH(CONCATENATE(G$2,$A15),'Výsledková listina'!$Q:$Q,0)),"",INDEX('Výsledková listina'!$B:$B,MATCH(CONCATENATE(G$2,$A15),'Výsledková listina'!$Q:$Q,0),1))</f>
        <v>Velebný Pavel</v>
      </c>
      <c r="H15" s="176">
        <v>13640</v>
      </c>
      <c r="I15" s="177">
        <f t="shared" si="2"/>
        <v>1</v>
      </c>
      <c r="J15" s="178">
        <f t="shared" si="3"/>
        <v>1</v>
      </c>
      <c r="K15" s="182"/>
      <c r="L15" s="99" t="str">
        <f>IF(ISNA(MATCH(CONCATENATE(L$2,$A15),'Výsledková listina'!$Q:$Q,0)),"",INDEX('Výsledková listina'!$B:$B,MATCH(CONCATENATE(L$2,$A15),'Výsledková listina'!$Q:$Q,0),1))</f>
        <v>Němec Jan</v>
      </c>
      <c r="M15" s="176">
        <v>9435</v>
      </c>
      <c r="N15" s="177">
        <f t="shared" si="4"/>
        <v>7</v>
      </c>
      <c r="O15" s="178">
        <f t="shared" si="5"/>
        <v>7</v>
      </c>
      <c r="P15" s="182"/>
      <c r="Q15" s="99" t="str">
        <f>IF(ISNA(MATCH(CONCATENATE(Q$2,$A15),'Výsledková listina'!$Q:$Q,0)),"",INDEX('Výsledková listina'!$B:$B,MATCH(CONCATENATE(Q$2,$A15),'Výsledková listina'!$Q:$Q,0),1))</f>
        <v>Vymazal Petr</v>
      </c>
      <c r="R15" s="176">
        <v>7600</v>
      </c>
      <c r="S15" s="177">
        <f t="shared" si="6"/>
        <v>8</v>
      </c>
      <c r="T15" s="178">
        <f t="shared" si="7"/>
        <v>8</v>
      </c>
      <c r="U15" s="182"/>
      <c r="V15" s="99" t="str">
        <f>IF(ISNA(MATCH(CONCATENATE(V$2,$A15),'Výsledková listina'!$Q:$Q,0)),"",INDEX('Výsledková listina'!$B:$B,MATCH(CONCATENATE(V$2,$A15),'Výsledková listina'!$Q:$Q,0),1))</f>
        <v>Pužej Štěpán</v>
      </c>
      <c r="W15" s="176">
        <v>5620</v>
      </c>
      <c r="X15" s="177">
        <f t="shared" si="8"/>
        <v>14</v>
      </c>
      <c r="Y15" s="178">
        <f t="shared" si="9"/>
        <v>14</v>
      </c>
      <c r="Z15" s="182"/>
      <c r="AA15" s="99" t="str">
        <f>IF(ISNA(MATCH(CONCATENATE(AA$2,$A15),'Výsledková listina'!$Q:$Q,0)),"",INDEX('Výsledková listina'!$B:$B,MATCH(CONCATENATE(AA$2,$A15),'Výsledková listina'!$Q:$Q,0),1))</f>
        <v>Kotek Vojtěch</v>
      </c>
      <c r="AB15" s="176">
        <v>2220</v>
      </c>
      <c r="AC15" s="177">
        <f t="shared" si="10"/>
        <v>15</v>
      </c>
      <c r="AD15" s="178">
        <f t="shared" si="11"/>
        <v>15.5</v>
      </c>
      <c r="AE15" s="182"/>
      <c r="AF15" s="99" t="str">
        <f>IF(ISNA(MATCH(CONCATENATE(AF$2,$A15),'Výsledková listina'!$Q:$Q,0)),"",INDEX('Výsledková listina'!$B:$B,MATCH(CONCATENATE(AF$2,$A15),'Výsledková listina'!$Q:$Q,0),1))</f>
        <v>Kapusta Lukáš</v>
      </c>
      <c r="AG15" s="176">
        <v>13490</v>
      </c>
      <c r="AH15" s="177">
        <f t="shared" si="12"/>
        <v>5</v>
      </c>
      <c r="AI15" s="178">
        <f t="shared" si="13"/>
        <v>5</v>
      </c>
      <c r="AJ15" s="182"/>
      <c r="AK15" s="99" t="str">
        <f>IF(ISNA(MATCH(CONCATENATE(AK$2,$A15),'Výsledková listina'!$Q:$Q,0)),"",INDEX('Výsledková listina'!$B:$B,MATCH(CONCATENATE(AK$2,$A15),'Výsledková listina'!$Q:$Q,0),1))</f>
        <v>Vojta Jan</v>
      </c>
      <c r="AL15" s="176">
        <v>16880</v>
      </c>
      <c r="AM15" s="177">
        <f t="shared" si="14"/>
        <v>1</v>
      </c>
      <c r="AN15" s="178">
        <f t="shared" si="15"/>
        <v>1</v>
      </c>
      <c r="AO15" s="182"/>
      <c r="AP15" s="99" t="str">
        <f>IF(ISNA(MATCH(CONCATENATE(AP$2,$A15),'Výsledková listina'!$Q:$Q,0)),"",INDEX('Výsledková listina'!$B:$B,MATCH(CONCATENATE(AP$2,$A15),'Výsledková listina'!$Q:$Q,0),1))</f>
        <v>Vančata Vladimír</v>
      </c>
      <c r="AQ15" s="176">
        <v>3350</v>
      </c>
      <c r="AR15" s="177">
        <f t="shared" si="16"/>
        <v>15</v>
      </c>
      <c r="AS15" s="178">
        <f t="shared" si="17"/>
        <v>15</v>
      </c>
      <c r="AT15" s="182"/>
      <c r="AU15" s="99">
        <f>IF(ISNA(MATCH(CONCATENATE(AU$2,$A15),'Výsledková listina'!$Q:$Q,0)),"",INDEX('Výsledková listina'!$B:$B,MATCH(CONCATENATE(AU$2,$A15),'Výsledková listina'!$Q:$Q,0),1))</f>
      </c>
      <c r="AV15" s="176"/>
      <c r="AW15" s="177">
        <f t="shared" si="18"/>
      </c>
      <c r="AX15" s="178">
        <f t="shared" si="19"/>
      </c>
      <c r="AY15" s="182"/>
      <c r="AZ15" s="99">
        <f>IF(ISNA(MATCH(CONCATENATE(AZ$2,$A15),'Výsledková listina'!$Q:$Q,0)),"",INDEX('Výsledková listina'!$B:$B,MATCH(CONCATENATE(AZ$2,$A15),'Výsledková listina'!$Q:$Q,0),1))</f>
      </c>
      <c r="BA15" s="176"/>
      <c r="BB15" s="177">
        <f t="shared" si="20"/>
      </c>
      <c r="BC15" s="178">
        <f t="shared" si="21"/>
      </c>
      <c r="BD15" s="182"/>
      <c r="BE15" s="99">
        <f>IF(ISNA(MATCH(CONCATENATE(BE$2,$A15),'Výsledková listina'!$Q:$Q,0)),"",INDEX('Výsledková listina'!$B:$B,MATCH(CONCATENATE(BE$2,$A15),'Výsledková listina'!$Q:$Q,0),1))</f>
      </c>
      <c r="BF15" s="176"/>
      <c r="BG15" s="177">
        <f t="shared" si="22"/>
      </c>
      <c r="BH15" s="178">
        <f t="shared" si="23"/>
      </c>
      <c r="BI15" s="182"/>
      <c r="BJ15" s="99">
        <f>IF(ISNA(MATCH(CONCATENATE(BJ$2,$A15),'Výsledková listina'!$Q:$Q,0)),"",INDEX('Výsledková listina'!$B:$B,MATCH(CONCATENATE(BJ$2,$A15),'Výsledková listina'!$Q:$Q,0),1))</f>
      </c>
      <c r="BK15" s="176"/>
      <c r="BL15" s="177">
        <f t="shared" si="24"/>
      </c>
      <c r="BM15" s="178">
        <f t="shared" si="25"/>
      </c>
      <c r="BN15" s="182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</row>
    <row r="16" spans="1:174" s="181" customFormat="1" ht="34.5" customHeight="1">
      <c r="A16" s="212">
        <v>13</v>
      </c>
      <c r="B16" s="99" t="str">
        <f>IF(ISNA(MATCH(CONCATENATE(B$2,$A16),'Výsledková listina'!$Q:$Q,0)),"",INDEX('Výsledková listina'!$B:$B,MATCH(CONCATENATE(B$2,$A16),'Výsledková listina'!$Q:$Q,0),1))</f>
        <v>Rajdl Jaroslav</v>
      </c>
      <c r="C16" s="176">
        <v>7370</v>
      </c>
      <c r="D16" s="177">
        <f t="shared" si="0"/>
        <v>6</v>
      </c>
      <c r="E16" s="178">
        <f t="shared" si="1"/>
        <v>6</v>
      </c>
      <c r="F16" s="182"/>
      <c r="G16" s="99" t="str">
        <f>IF(ISNA(MATCH(CONCATENATE(G$2,$A16),'Výsledková listina'!$Q:$Q,0)),"",INDEX('Výsledková listina'!$B:$B,MATCH(CONCATENATE(G$2,$A16),'Výsledková listina'!$Q:$Q,0),1))</f>
        <v>Paulovič Marek</v>
      </c>
      <c r="H16" s="176">
        <v>8510</v>
      </c>
      <c r="I16" s="177">
        <f t="shared" si="2"/>
        <v>5</v>
      </c>
      <c r="J16" s="178">
        <f t="shared" si="3"/>
        <v>5</v>
      </c>
      <c r="K16" s="182"/>
      <c r="L16" s="99" t="str">
        <f>IF(ISNA(MATCH(CONCATENATE(L$2,$A16),'Výsledková listina'!$Q:$Q,0)),"",INDEX('Výsledková listina'!$B:$B,MATCH(CONCATENATE(L$2,$A16),'Výsledková listina'!$Q:$Q,0),1))</f>
        <v>Fodor Petr</v>
      </c>
      <c r="M16" s="176">
        <v>2480</v>
      </c>
      <c r="N16" s="177">
        <f t="shared" si="4"/>
        <v>15</v>
      </c>
      <c r="O16" s="178">
        <f t="shared" si="5"/>
        <v>15</v>
      </c>
      <c r="P16" s="182"/>
      <c r="Q16" s="99" t="str">
        <f>IF(ISNA(MATCH(CONCATENATE(Q$2,$A16),'Výsledková listina'!$Q:$Q,0)),"",INDEX('Výsledková listina'!$B:$B,MATCH(CONCATENATE(Q$2,$A16),'Výsledková listina'!$Q:$Q,0),1))</f>
        <v>Špánek Milan</v>
      </c>
      <c r="R16" s="176">
        <v>7540</v>
      </c>
      <c r="S16" s="177">
        <f t="shared" si="6"/>
        <v>9</v>
      </c>
      <c r="T16" s="178">
        <f t="shared" si="7"/>
        <v>9</v>
      </c>
      <c r="U16" s="182"/>
      <c r="V16" s="99" t="str">
        <f>IF(ISNA(MATCH(CONCATENATE(V$2,$A16),'Výsledková listina'!$Q:$Q,0)),"",INDEX('Výsledková listina'!$B:$B,MATCH(CONCATENATE(V$2,$A16),'Výsledková listina'!$Q:$Q,0),1))</f>
        <v>Kunst Antonín</v>
      </c>
      <c r="W16" s="176">
        <v>9370</v>
      </c>
      <c r="X16" s="177">
        <f t="shared" si="8"/>
        <v>8</v>
      </c>
      <c r="Y16" s="178">
        <f t="shared" si="9"/>
        <v>8</v>
      </c>
      <c r="Z16" s="182"/>
      <c r="AA16" s="99" t="str">
        <f>IF(ISNA(MATCH(CONCATENATE(AA$2,$A16),'Výsledková listina'!$Q:$Q,0)),"",INDEX('Výsledková listina'!$B:$B,MATCH(CONCATENATE(AA$2,$A16),'Výsledková listina'!$Q:$Q,0),1))</f>
        <v>Šmitmajer Marek</v>
      </c>
      <c r="AB16" s="176">
        <v>5700</v>
      </c>
      <c r="AC16" s="177">
        <f t="shared" si="10"/>
        <v>9</v>
      </c>
      <c r="AD16" s="178">
        <f t="shared" si="11"/>
        <v>9</v>
      </c>
      <c r="AE16" s="182"/>
      <c r="AF16" s="99" t="str">
        <f>IF(ISNA(MATCH(CONCATENATE(AF$2,$A16),'Výsledková listina'!$Q:$Q,0)),"",INDEX('Výsledková listina'!$B:$B,MATCH(CONCATENATE(AF$2,$A16),'Výsledková listina'!$Q:$Q,0),1))</f>
        <v>Hájek Ondřej</v>
      </c>
      <c r="AG16" s="176">
        <v>23320</v>
      </c>
      <c r="AH16" s="177">
        <f t="shared" si="12"/>
        <v>2</v>
      </c>
      <c r="AI16" s="178">
        <f t="shared" si="13"/>
        <v>2</v>
      </c>
      <c r="AJ16" s="182"/>
      <c r="AK16" s="99" t="str">
        <f>IF(ISNA(MATCH(CONCATENATE(AK$2,$A16),'Výsledková listina'!$Q:$Q,0)),"",INDEX('Výsledková listina'!$B:$B,MATCH(CONCATENATE(AK$2,$A16),'Výsledková listina'!$Q:$Q,0),1))</f>
        <v>Plzák Karel</v>
      </c>
      <c r="AL16" s="176">
        <v>6660</v>
      </c>
      <c r="AM16" s="177">
        <f t="shared" si="14"/>
        <v>13</v>
      </c>
      <c r="AN16" s="178">
        <f t="shared" si="15"/>
        <v>13</v>
      </c>
      <c r="AO16" s="182"/>
      <c r="AP16" s="99" t="str">
        <f>IF(ISNA(MATCH(CONCATENATE(AP$2,$A16),'Výsledková listina'!$Q:$Q,0)),"",INDEX('Výsledková listina'!$B:$B,MATCH(CONCATENATE(AP$2,$A16),'Výsledková listina'!$Q:$Q,0),1))</f>
        <v>Vican Roman</v>
      </c>
      <c r="AQ16" s="176">
        <v>8550</v>
      </c>
      <c r="AR16" s="177">
        <f t="shared" si="16"/>
        <v>13</v>
      </c>
      <c r="AS16" s="178">
        <f t="shared" si="17"/>
        <v>13</v>
      </c>
      <c r="AT16" s="182"/>
      <c r="AU16" s="99">
        <f>IF(ISNA(MATCH(CONCATENATE(AU$2,$A16),'Výsledková listina'!$Q:$Q,0)),"",INDEX('Výsledková listina'!$B:$B,MATCH(CONCATENATE(AU$2,$A16),'Výsledková listina'!$Q:$Q,0),1))</f>
      </c>
      <c r="AV16" s="176"/>
      <c r="AW16" s="177">
        <f t="shared" si="18"/>
      </c>
      <c r="AX16" s="178">
        <f t="shared" si="19"/>
      </c>
      <c r="AY16" s="182"/>
      <c r="AZ16" s="99">
        <f>IF(ISNA(MATCH(CONCATENATE(AZ$2,$A16),'Výsledková listina'!$Q:$Q,0)),"",INDEX('Výsledková listina'!$B:$B,MATCH(CONCATENATE(AZ$2,$A16),'Výsledková listina'!$Q:$Q,0),1))</f>
      </c>
      <c r="BA16" s="176"/>
      <c r="BB16" s="177">
        <f t="shared" si="20"/>
      </c>
      <c r="BC16" s="178">
        <f t="shared" si="21"/>
      </c>
      <c r="BD16" s="182"/>
      <c r="BE16" s="99">
        <f>IF(ISNA(MATCH(CONCATENATE(BE$2,$A16),'Výsledková listina'!$Q:$Q,0)),"",INDEX('Výsledková listina'!$B:$B,MATCH(CONCATENATE(BE$2,$A16),'Výsledková listina'!$Q:$Q,0),1))</f>
      </c>
      <c r="BF16" s="176"/>
      <c r="BG16" s="177">
        <f t="shared" si="22"/>
      </c>
      <c r="BH16" s="178">
        <f t="shared" si="23"/>
      </c>
      <c r="BI16" s="182"/>
      <c r="BJ16" s="99">
        <f>IF(ISNA(MATCH(CONCATENATE(BJ$2,$A16),'Výsledková listina'!$Q:$Q,0)),"",INDEX('Výsledková listina'!$B:$B,MATCH(CONCATENATE(BJ$2,$A16),'Výsledková listina'!$Q:$Q,0),1))</f>
      </c>
      <c r="BK16" s="176"/>
      <c r="BL16" s="177">
        <f t="shared" si="24"/>
      </c>
      <c r="BM16" s="178">
        <f t="shared" si="25"/>
      </c>
      <c r="BN16" s="182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</row>
    <row r="17" spans="1:174" s="181" customFormat="1" ht="34.5" customHeight="1">
      <c r="A17" s="212">
        <v>14</v>
      </c>
      <c r="B17" s="99" t="str">
        <f>IF(ISNA(MATCH(CONCATENATE(B$2,$A17),'Výsledková listina'!$Q:$Q,0)),"",INDEX('Výsledková listina'!$B:$B,MATCH(CONCATENATE(B$2,$A17),'Výsledková listina'!$Q:$Q,0),1))</f>
        <v>Zeman Tomáš</v>
      </c>
      <c r="C17" s="176">
        <v>9650</v>
      </c>
      <c r="D17" s="177">
        <f t="shared" si="0"/>
        <v>5</v>
      </c>
      <c r="E17" s="178">
        <f t="shared" si="1"/>
        <v>5</v>
      </c>
      <c r="F17" s="182"/>
      <c r="G17" s="99" t="str">
        <f>IF(ISNA(MATCH(CONCATENATE(G$2,$A17),'Výsledková listina'!$Q:$Q,0)),"",INDEX('Výsledková listina'!$B:$B,MATCH(CONCATENATE(G$2,$A17),'Výsledková listina'!$Q:$Q,0),1))</f>
        <v>Ondraček Petr</v>
      </c>
      <c r="H17" s="176">
        <v>10410</v>
      </c>
      <c r="I17" s="177">
        <f t="shared" si="2"/>
        <v>4</v>
      </c>
      <c r="J17" s="178">
        <f t="shared" si="3"/>
        <v>4</v>
      </c>
      <c r="K17" s="182"/>
      <c r="L17" s="99" t="str">
        <f>IF(ISNA(MATCH(CONCATENATE(L$2,$A17),'Výsledková listina'!$Q:$Q,0)),"",INDEX('Výsledková listina'!$B:$B,MATCH(CONCATENATE(L$2,$A17),'Výsledková listina'!$Q:$Q,0),1))</f>
        <v>Mlčák Luboš</v>
      </c>
      <c r="M17" s="176">
        <v>8985</v>
      </c>
      <c r="N17" s="177">
        <f t="shared" si="4"/>
        <v>8</v>
      </c>
      <c r="O17" s="178">
        <f t="shared" si="5"/>
        <v>8</v>
      </c>
      <c r="P17" s="182"/>
      <c r="Q17" s="99" t="str">
        <f>IF(ISNA(MATCH(CONCATENATE(Q$2,$A17),'Výsledková listina'!$Q:$Q,0)),"",INDEX('Výsledková listina'!$B:$B,MATCH(CONCATENATE(Q$2,$A17),'Výsledková listina'!$Q:$Q,0),1))</f>
        <v>Vosáhlo Pavel</v>
      </c>
      <c r="R17" s="176">
        <v>10305</v>
      </c>
      <c r="S17" s="177">
        <f t="shared" si="6"/>
        <v>4</v>
      </c>
      <c r="T17" s="178">
        <f t="shared" si="7"/>
        <v>4</v>
      </c>
      <c r="U17" s="182"/>
      <c r="V17" s="99" t="str">
        <f>IF(ISNA(MATCH(CONCATENATE(V$2,$A17),'Výsledková listina'!$Q:$Q,0)),"",INDEX('Výsledková listina'!$B:$B,MATCH(CONCATENATE(V$2,$A17),'Výsledková listina'!$Q:$Q,0),1))</f>
        <v>Tvarůžek Miroslav</v>
      </c>
      <c r="W17" s="176">
        <v>11005</v>
      </c>
      <c r="X17" s="177">
        <f t="shared" si="8"/>
        <v>6</v>
      </c>
      <c r="Y17" s="178">
        <f t="shared" si="9"/>
        <v>6</v>
      </c>
      <c r="Z17" s="182"/>
      <c r="AA17" s="99" t="str">
        <f>IF(ISNA(MATCH(CONCATENATE(AA$2,$A17),'Výsledková listina'!$Q:$Q,0)),"",INDEX('Výsledková listina'!$B:$B,MATCH(CONCATENATE(AA$2,$A17),'Výsledková listina'!$Q:$Q,0),1))</f>
        <v>Novák Zdeněk</v>
      </c>
      <c r="AB17" s="176">
        <v>2770</v>
      </c>
      <c r="AC17" s="177">
        <f t="shared" si="10"/>
        <v>14</v>
      </c>
      <c r="AD17" s="178">
        <f t="shared" si="11"/>
        <v>14</v>
      </c>
      <c r="AE17" s="182"/>
      <c r="AF17" s="99" t="str">
        <f>IF(ISNA(MATCH(CONCATENATE(AF$2,$A17),'Výsledková listina'!$Q:$Q,0)),"",INDEX('Výsledková listina'!$B:$B,MATCH(CONCATENATE(AF$2,$A17),'Výsledková listina'!$Q:$Q,0),1))</f>
        <v>Vydra Filip</v>
      </c>
      <c r="AG17" s="176">
        <v>23410</v>
      </c>
      <c r="AH17" s="177">
        <f t="shared" si="12"/>
        <v>1</v>
      </c>
      <c r="AI17" s="178">
        <f t="shared" si="13"/>
        <v>1</v>
      </c>
      <c r="AJ17" s="182"/>
      <c r="AK17" s="99" t="str">
        <f>IF(ISNA(MATCH(CONCATENATE(AK$2,$A17),'Výsledková listina'!$Q:$Q,0)),"",INDEX('Výsledková listina'!$B:$B,MATCH(CONCATENATE(AK$2,$A17),'Výsledková listina'!$Q:$Q,0),1))</f>
        <v>Kabát Petr</v>
      </c>
      <c r="AL17" s="176">
        <v>16320</v>
      </c>
      <c r="AM17" s="177">
        <f t="shared" si="14"/>
        <v>2</v>
      </c>
      <c r="AN17" s="178">
        <f t="shared" si="15"/>
        <v>2</v>
      </c>
      <c r="AO17" s="182"/>
      <c r="AP17" s="99" t="str">
        <f>IF(ISNA(MATCH(CONCATENATE(AP$2,$A17),'Výsledková listina'!$Q:$Q,0)),"",INDEX('Výsledková listina'!$B:$B,MATCH(CONCATENATE(AP$2,$A17),'Výsledková listina'!$Q:$Q,0),1))</f>
        <v>Soukup Michal</v>
      </c>
      <c r="AQ17" s="176">
        <v>25040</v>
      </c>
      <c r="AR17" s="177">
        <f t="shared" si="16"/>
        <v>2</v>
      </c>
      <c r="AS17" s="178">
        <f t="shared" si="17"/>
        <v>2</v>
      </c>
      <c r="AT17" s="182"/>
      <c r="AU17" s="99">
        <f>IF(ISNA(MATCH(CONCATENATE(AU$2,$A17),'Výsledková listina'!$Q:$Q,0)),"",INDEX('Výsledková listina'!$B:$B,MATCH(CONCATENATE(AU$2,$A17),'Výsledková listina'!$Q:$Q,0),1))</f>
      </c>
      <c r="AV17" s="176"/>
      <c r="AW17" s="177">
        <f t="shared" si="18"/>
      </c>
      <c r="AX17" s="178">
        <f t="shared" si="19"/>
      </c>
      <c r="AY17" s="182"/>
      <c r="AZ17" s="99">
        <f>IF(ISNA(MATCH(CONCATENATE(AZ$2,$A17),'Výsledková listina'!$Q:$Q,0)),"",INDEX('Výsledková listina'!$B:$B,MATCH(CONCATENATE(AZ$2,$A17),'Výsledková listina'!$Q:$Q,0),1))</f>
      </c>
      <c r="BA17" s="176"/>
      <c r="BB17" s="177">
        <f t="shared" si="20"/>
      </c>
      <c r="BC17" s="178">
        <f t="shared" si="21"/>
      </c>
      <c r="BD17" s="182"/>
      <c r="BE17" s="99">
        <f>IF(ISNA(MATCH(CONCATENATE(BE$2,$A17),'Výsledková listina'!$Q:$Q,0)),"",INDEX('Výsledková listina'!$B:$B,MATCH(CONCATENATE(BE$2,$A17),'Výsledková listina'!$Q:$Q,0),1))</f>
      </c>
      <c r="BF17" s="176"/>
      <c r="BG17" s="177">
        <f t="shared" si="22"/>
      </c>
      <c r="BH17" s="178">
        <f t="shared" si="23"/>
      </c>
      <c r="BI17" s="182"/>
      <c r="BJ17" s="99">
        <f>IF(ISNA(MATCH(CONCATENATE(BJ$2,$A17),'Výsledková listina'!$Q:$Q,0)),"",INDEX('Výsledková listina'!$B:$B,MATCH(CONCATENATE(BJ$2,$A17),'Výsledková listina'!$Q:$Q,0),1))</f>
      </c>
      <c r="BK17" s="176"/>
      <c r="BL17" s="177">
        <f t="shared" si="24"/>
      </c>
      <c r="BM17" s="178">
        <f t="shared" si="25"/>
      </c>
      <c r="BN17" s="182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</row>
    <row r="18" spans="1:174" s="181" customFormat="1" ht="34.5" customHeight="1">
      <c r="A18" s="212">
        <v>15</v>
      </c>
      <c r="B18" s="99" t="str">
        <f>IF(ISNA(MATCH(CONCATENATE(B$2,$A18),'Výsledková listina'!$Q:$Q,0)),"",INDEX('Výsledková listina'!$B:$B,MATCH(CONCATENATE(B$2,$A18),'Výsledková listina'!$Q:$Q,0),1))</f>
        <v>Zoul Artur</v>
      </c>
      <c r="C18" s="176">
        <v>1510</v>
      </c>
      <c r="D18" s="177">
        <f t="shared" si="0"/>
        <v>13</v>
      </c>
      <c r="E18" s="178">
        <f t="shared" si="1"/>
        <v>13</v>
      </c>
      <c r="F18" s="182"/>
      <c r="G18" s="99" t="str">
        <f>IF(ISNA(MATCH(CONCATENATE(G$2,$A18),'Výsledková listina'!$Q:$Q,0)),"",INDEX('Výsledková listina'!$B:$B,MATCH(CONCATENATE(G$2,$A18),'Výsledková listina'!$Q:$Q,0),1))</f>
        <v>Richter František</v>
      </c>
      <c r="H18" s="176">
        <v>3950</v>
      </c>
      <c r="I18" s="177">
        <f t="shared" si="2"/>
        <v>13</v>
      </c>
      <c r="J18" s="178">
        <f t="shared" si="3"/>
        <v>13</v>
      </c>
      <c r="K18" s="182"/>
      <c r="L18" s="99" t="str">
        <f>IF(ISNA(MATCH(CONCATENATE(L$2,$A18),'Výsledková listina'!$Q:$Q,0)),"",INDEX('Výsledková listina'!$B:$B,MATCH(CONCATENATE(L$2,$A18),'Výsledková listina'!$Q:$Q,0),1))</f>
        <v>Král Víťa ml.</v>
      </c>
      <c r="M18" s="176">
        <v>2750</v>
      </c>
      <c r="N18" s="177">
        <f t="shared" si="4"/>
        <v>14</v>
      </c>
      <c r="O18" s="178">
        <f t="shared" si="5"/>
        <v>14</v>
      </c>
      <c r="P18" s="182"/>
      <c r="Q18" s="99" t="str">
        <f>IF(ISNA(MATCH(CONCATENATE(Q$2,$A18),'Výsledková listina'!$Q:$Q,0)),"",INDEX('Výsledková listina'!$B:$B,MATCH(CONCATENATE(Q$2,$A18),'Výsledková listina'!$Q:$Q,0),1))</f>
        <v>Černý Tomáš st.</v>
      </c>
      <c r="R18" s="176">
        <v>9265</v>
      </c>
      <c r="S18" s="177">
        <f t="shared" si="6"/>
        <v>7</v>
      </c>
      <c r="T18" s="178">
        <f t="shared" si="7"/>
        <v>7</v>
      </c>
      <c r="U18" s="182"/>
      <c r="V18" s="99" t="str">
        <f>IF(ISNA(MATCH(CONCATENATE(V$2,$A18),'Výsledková listina'!$Q:$Q,0)),"",INDEX('Výsledková listina'!$B:$B,MATCH(CONCATENATE(V$2,$A18),'Výsledková listina'!$Q:$Q,0),1))</f>
        <v>Viktorin Tomáš</v>
      </c>
      <c r="W18" s="176">
        <v>14700</v>
      </c>
      <c r="X18" s="177">
        <f t="shared" si="8"/>
        <v>4</v>
      </c>
      <c r="Y18" s="178">
        <f t="shared" si="9"/>
        <v>4</v>
      </c>
      <c r="Z18" s="182"/>
      <c r="AA18" s="99" t="str">
        <f>IF(ISNA(MATCH(CONCATENATE(AA$2,$A18),'Výsledková listina'!$Q:$Q,0)),"",INDEX('Výsledková listina'!$B:$B,MATCH(CONCATENATE(AA$2,$A18),'Výsledková listina'!$Q:$Q,0),1))</f>
        <v>Vichr Milan</v>
      </c>
      <c r="AB18" s="176">
        <v>3880</v>
      </c>
      <c r="AC18" s="177">
        <f t="shared" si="10"/>
        <v>12</v>
      </c>
      <c r="AD18" s="178">
        <f t="shared" si="11"/>
        <v>12</v>
      </c>
      <c r="AE18" s="182"/>
      <c r="AF18" s="99" t="str">
        <f>IF(ISNA(MATCH(CONCATENATE(AF$2,$A18),'Výsledková listina'!$Q:$Q,0)),"",INDEX('Výsledková listina'!$B:$B,MATCH(CONCATENATE(AF$2,$A18),'Výsledková listina'!$Q:$Q,0),1))</f>
        <v>Černý Tomáš ml.</v>
      </c>
      <c r="AG18" s="176">
        <v>21350</v>
      </c>
      <c r="AH18" s="177">
        <f t="shared" si="12"/>
        <v>3</v>
      </c>
      <c r="AI18" s="178">
        <f t="shared" si="13"/>
        <v>3</v>
      </c>
      <c r="AJ18" s="182"/>
      <c r="AK18" s="99" t="str">
        <f>IF(ISNA(MATCH(CONCATENATE(AK$2,$A18),'Výsledková listina'!$Q:$Q,0)),"",INDEX('Výsledková listina'!$B:$B,MATCH(CONCATENATE(AK$2,$A18),'Výsledková listina'!$Q:$Q,0),1))</f>
        <v>Svoboda Jiři</v>
      </c>
      <c r="AL18" s="176">
        <v>5120</v>
      </c>
      <c r="AM18" s="177">
        <f t="shared" si="14"/>
        <v>16</v>
      </c>
      <c r="AN18" s="178">
        <f t="shared" si="15"/>
        <v>16</v>
      </c>
      <c r="AO18" s="182"/>
      <c r="AP18" s="99" t="str">
        <f>IF(ISNA(MATCH(CONCATENATE(AP$2,$A18),'Výsledková listina'!$Q:$Q,0)),"",INDEX('Výsledková listina'!$B:$B,MATCH(CONCATENATE(AP$2,$A18),'Výsledková listina'!$Q:$Q,0),1))</f>
        <v>Shershen Volodimír</v>
      </c>
      <c r="AQ18" s="176">
        <v>9850</v>
      </c>
      <c r="AR18" s="177">
        <f t="shared" si="16"/>
        <v>11</v>
      </c>
      <c r="AS18" s="178">
        <f t="shared" si="17"/>
        <v>11</v>
      </c>
      <c r="AT18" s="182"/>
      <c r="AU18" s="99">
        <f>IF(ISNA(MATCH(CONCATENATE(AU$2,$A18),'Výsledková listina'!$Q:$Q,0)),"",INDEX('Výsledková listina'!$B:$B,MATCH(CONCATENATE(AU$2,$A18),'Výsledková listina'!$Q:$Q,0),1))</f>
      </c>
      <c r="AV18" s="176"/>
      <c r="AW18" s="177">
        <f t="shared" si="18"/>
      </c>
      <c r="AX18" s="178">
        <f t="shared" si="19"/>
      </c>
      <c r="AY18" s="182"/>
      <c r="AZ18" s="99">
        <f>IF(ISNA(MATCH(CONCATENATE(AZ$2,$A18),'Výsledková listina'!$Q:$Q,0)),"",INDEX('Výsledková listina'!$B:$B,MATCH(CONCATENATE(AZ$2,$A18),'Výsledková listina'!$Q:$Q,0),1))</f>
      </c>
      <c r="BA18" s="176"/>
      <c r="BB18" s="177">
        <f t="shared" si="20"/>
      </c>
      <c r="BC18" s="178">
        <f t="shared" si="21"/>
      </c>
      <c r="BD18" s="182"/>
      <c r="BE18" s="99">
        <f>IF(ISNA(MATCH(CONCATENATE(BE$2,$A18),'Výsledková listina'!$Q:$Q,0)),"",INDEX('Výsledková listina'!$B:$B,MATCH(CONCATENATE(BE$2,$A18),'Výsledková listina'!$Q:$Q,0),1))</f>
      </c>
      <c r="BF18" s="176"/>
      <c r="BG18" s="177">
        <f t="shared" si="22"/>
      </c>
      <c r="BH18" s="178">
        <f t="shared" si="23"/>
      </c>
      <c r="BI18" s="182"/>
      <c r="BJ18" s="99">
        <f>IF(ISNA(MATCH(CONCATENATE(BJ$2,$A18),'Výsledková listina'!$Q:$Q,0)),"",INDEX('Výsledková listina'!$B:$B,MATCH(CONCATENATE(BJ$2,$A18),'Výsledková listina'!$Q:$Q,0),1))</f>
      </c>
      <c r="BK18" s="176"/>
      <c r="BL18" s="177">
        <f t="shared" si="24"/>
      </c>
      <c r="BM18" s="178">
        <f t="shared" si="25"/>
      </c>
      <c r="BN18" s="182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</row>
    <row r="19" spans="1:174" s="181" customFormat="1" ht="34.5" customHeight="1">
      <c r="A19" s="212">
        <v>16</v>
      </c>
      <c r="B19" s="99">
        <f>IF(ISNA(MATCH(CONCATENATE(B$2,$A19),'Výsledková listina'!$Q:$Q,0)),"",INDEX('Výsledková listina'!$B:$B,MATCH(CONCATENATE(B$2,$A19),'Výsledková listina'!$Q:$Q,0),1))</f>
      </c>
      <c r="C19" s="176"/>
      <c r="D19" s="177">
        <f t="shared" si="0"/>
      </c>
      <c r="E19" s="178">
        <f t="shared" si="1"/>
      </c>
      <c r="F19" s="182"/>
      <c r="G19" s="99">
        <f>IF(ISNA(MATCH(CONCATENATE(G$2,$A19),'Výsledková listina'!$Q:$Q,0)),"",INDEX('Výsledková listina'!$B:$B,MATCH(CONCATENATE(G$2,$A19),'Výsledková listina'!$Q:$Q,0),1))</f>
      </c>
      <c r="H19" s="176"/>
      <c r="I19" s="177">
        <f t="shared" si="2"/>
      </c>
      <c r="J19" s="178">
        <f t="shared" si="3"/>
      </c>
      <c r="K19" s="182"/>
      <c r="L19" s="99" t="str">
        <f>IF(ISNA(MATCH(CONCATENATE(L$2,$A19),'Výsledková listina'!$Q:$Q,0)),"",INDEX('Výsledková listina'!$B:$B,MATCH(CONCATENATE(L$2,$A19),'Výsledková listina'!$Q:$Q,0),1))</f>
        <v>Řehoř Michal</v>
      </c>
      <c r="M19" s="176">
        <v>4080</v>
      </c>
      <c r="N19" s="177">
        <f t="shared" si="4"/>
        <v>13</v>
      </c>
      <c r="O19" s="178">
        <f t="shared" si="5"/>
        <v>13</v>
      </c>
      <c r="P19" s="182"/>
      <c r="Q19" s="99" t="str">
        <f>IF(ISNA(MATCH(CONCATENATE(Q$2,$A19),'Výsledková listina'!$Q:$Q,0)),"",INDEX('Výsledková listina'!$B:$B,MATCH(CONCATENATE(Q$2,$A19),'Výsledková listina'!$Q:$Q,0),1))</f>
        <v>Šerý Kamil</v>
      </c>
      <c r="R19" s="176">
        <v>6690</v>
      </c>
      <c r="S19" s="177">
        <f t="shared" si="6"/>
        <v>11</v>
      </c>
      <c r="T19" s="178">
        <f t="shared" si="7"/>
        <v>11</v>
      </c>
      <c r="U19" s="182"/>
      <c r="V19" s="99" t="str">
        <f>IF(ISNA(MATCH(CONCATENATE(V$2,$A19),'Výsledková listina'!$Q:$Q,0)),"",INDEX('Výsledková listina'!$B:$B,MATCH(CONCATENATE(V$2,$A19),'Výsledková listina'!$Q:$Q,0),1))</f>
        <v>Štěpnička Martin</v>
      </c>
      <c r="W19" s="176">
        <v>21440</v>
      </c>
      <c r="X19" s="177">
        <f t="shared" si="8"/>
        <v>2</v>
      </c>
      <c r="Y19" s="178">
        <f t="shared" si="9"/>
        <v>2</v>
      </c>
      <c r="Z19" s="182"/>
      <c r="AA19" s="99" t="str">
        <f>IF(ISNA(MATCH(CONCATENATE(AA$2,$A19),'Výsledková listina'!$Q:$Q,0)),"",INDEX('Výsledková listina'!$B:$B,MATCH(CONCATENATE(AA$2,$A19),'Výsledková listina'!$Q:$Q,0),1))</f>
        <v>Krakowitzer Jiří</v>
      </c>
      <c r="AB19" s="176">
        <v>2220</v>
      </c>
      <c r="AC19" s="177">
        <f t="shared" si="10"/>
        <v>15</v>
      </c>
      <c r="AD19" s="178">
        <f t="shared" si="11"/>
        <v>15.5</v>
      </c>
      <c r="AE19" s="182"/>
      <c r="AF19" s="99" t="str">
        <f>IF(ISNA(MATCH(CONCATENATE(AF$2,$A19),'Výsledková listina'!$Q:$Q,0)),"",INDEX('Výsledková listina'!$B:$B,MATCH(CONCATENATE(AF$2,$A19),'Výsledková listina'!$Q:$Q,0),1))</f>
        <v>Grofová Lenka</v>
      </c>
      <c r="AG19" s="176">
        <v>13380</v>
      </c>
      <c r="AH19" s="177">
        <f t="shared" si="12"/>
        <v>6</v>
      </c>
      <c r="AI19" s="178">
        <f t="shared" si="13"/>
        <v>6</v>
      </c>
      <c r="AJ19" s="182"/>
      <c r="AK19" s="99" t="str">
        <f>IF(ISNA(MATCH(CONCATENATE(AK$2,$A19),'Výsledková listina'!$Q:$Q,0)),"",INDEX('Výsledková listina'!$B:$B,MATCH(CONCATENATE(AK$2,$A19),'Výsledková listina'!$Q:$Q,0),1))</f>
        <v>Oliva Vladimír</v>
      </c>
      <c r="AL19" s="176">
        <v>11860</v>
      </c>
      <c r="AM19" s="177">
        <f t="shared" si="14"/>
        <v>4</v>
      </c>
      <c r="AN19" s="178">
        <f t="shared" si="15"/>
        <v>4</v>
      </c>
      <c r="AO19" s="182"/>
      <c r="AP19" s="99">
        <f>IF(ISNA(MATCH(CONCATENATE(AP$2,$A19),'Výsledková listina'!$Q:$Q,0)),"",INDEX('Výsledková listina'!$B:$B,MATCH(CONCATENATE(AP$2,$A19),'Výsledková listina'!$Q:$Q,0),1))</f>
      </c>
      <c r="AQ19" s="176"/>
      <c r="AR19" s="177">
        <f t="shared" si="16"/>
      </c>
      <c r="AS19" s="178">
        <f t="shared" si="17"/>
      </c>
      <c r="AT19" s="182"/>
      <c r="AU19" s="99">
        <f>IF(ISNA(MATCH(CONCATENATE(AU$2,$A19),'Výsledková listina'!$Q:$Q,0)),"",INDEX('Výsledková listina'!$B:$B,MATCH(CONCATENATE(AU$2,$A19),'Výsledková listina'!$Q:$Q,0),1))</f>
      </c>
      <c r="AV19" s="176"/>
      <c r="AW19" s="177">
        <f t="shared" si="18"/>
      </c>
      <c r="AX19" s="178">
        <f t="shared" si="19"/>
      </c>
      <c r="AY19" s="182"/>
      <c r="AZ19" s="99">
        <f>IF(ISNA(MATCH(CONCATENATE(AZ$2,$A19),'Výsledková listina'!$Q:$Q,0)),"",INDEX('Výsledková listina'!$B:$B,MATCH(CONCATENATE(AZ$2,$A19),'Výsledková listina'!$Q:$Q,0),1))</f>
      </c>
      <c r="BA19" s="176"/>
      <c r="BB19" s="177">
        <f t="shared" si="20"/>
      </c>
      <c r="BC19" s="178">
        <f t="shared" si="21"/>
      </c>
      <c r="BD19" s="182"/>
      <c r="BE19" s="99">
        <f>IF(ISNA(MATCH(CONCATENATE(BE$2,$A19),'Výsledková listina'!$Q:$Q,0)),"",INDEX('Výsledková listina'!$B:$B,MATCH(CONCATENATE(BE$2,$A19),'Výsledková listina'!$Q:$Q,0),1))</f>
      </c>
      <c r="BF19" s="176"/>
      <c r="BG19" s="177">
        <f t="shared" si="22"/>
      </c>
      <c r="BH19" s="178">
        <f t="shared" si="23"/>
      </c>
      <c r="BI19" s="182"/>
      <c r="BJ19" s="99">
        <f>IF(ISNA(MATCH(CONCATENATE(BJ$2,$A19),'Výsledková listina'!$Q:$Q,0)),"",INDEX('Výsledková listina'!$B:$B,MATCH(CONCATENATE(BJ$2,$A19),'Výsledková listina'!$Q:$Q,0),1))</f>
      </c>
      <c r="BK19" s="176"/>
      <c r="BL19" s="177">
        <f t="shared" si="24"/>
      </c>
      <c r="BM19" s="178">
        <f t="shared" si="25"/>
      </c>
      <c r="BN19" s="182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</row>
    <row r="20" spans="1:174" s="181" customFormat="1" ht="34.5" customHeight="1">
      <c r="A20" s="212">
        <v>17</v>
      </c>
      <c r="B20" s="99">
        <f>IF(ISNA(MATCH(CONCATENATE(B$2,$A20),'Výsledková listina'!$Q:$Q,0)),"",INDEX('Výsledková listina'!$B:$B,MATCH(CONCATENATE(B$2,$A20),'Výsledková listina'!$Q:$Q,0),1))</f>
      </c>
      <c r="C20" s="176"/>
      <c r="D20" s="177">
        <f t="shared" si="0"/>
      </c>
      <c r="E20" s="178">
        <f t="shared" si="1"/>
      </c>
      <c r="F20" s="182"/>
      <c r="G20" s="99">
        <f>IF(ISNA(MATCH(CONCATENATE(G$2,$A20),'Výsledková listina'!$Q:$Q,0)),"",INDEX('Výsledková listina'!$B:$B,MATCH(CONCATENATE(G$2,$A20),'Výsledková listina'!$Q:$Q,0),1))</f>
      </c>
      <c r="H20" s="176"/>
      <c r="I20" s="177">
        <f t="shared" si="2"/>
      </c>
      <c r="J20" s="178">
        <f t="shared" si="3"/>
      </c>
      <c r="K20" s="182"/>
      <c r="L20" s="99">
        <f>IF(ISNA(MATCH(CONCATENATE(L$2,$A20),'Výsledková listina'!$Q:$Q,0)),"",INDEX('Výsledková listina'!$B:$B,MATCH(CONCATENATE(L$2,$A20),'Výsledková listina'!$Q:$Q,0),1))</f>
      </c>
      <c r="M20" s="176"/>
      <c r="N20" s="177">
        <f t="shared" si="4"/>
      </c>
      <c r="O20" s="178">
        <f t="shared" si="5"/>
      </c>
      <c r="P20" s="182"/>
      <c r="Q20" s="99">
        <f>IF(ISNA(MATCH(CONCATENATE(Q$2,$A20),'Výsledková listina'!$Q:$Q,0)),"",INDEX('Výsledková listina'!$B:$B,MATCH(CONCATENATE(Q$2,$A20),'Výsledková listina'!$Q:$Q,0),1))</f>
      </c>
      <c r="R20" s="176"/>
      <c r="S20" s="177">
        <f t="shared" si="6"/>
      </c>
      <c r="T20" s="178">
        <f t="shared" si="7"/>
      </c>
      <c r="U20" s="182"/>
      <c r="V20" s="99">
        <f>IF(ISNA(MATCH(CONCATENATE(V$2,$A20),'Výsledková listina'!$Q:$Q,0)),"",INDEX('Výsledková listina'!$B:$B,MATCH(CONCATENATE(V$2,$A20),'Výsledková listina'!$Q:$Q,0),1))</f>
      </c>
      <c r="W20" s="176"/>
      <c r="X20" s="177">
        <f t="shared" si="8"/>
      </c>
      <c r="Y20" s="178">
        <f t="shared" si="9"/>
      </c>
      <c r="Z20" s="182"/>
      <c r="AA20" s="99">
        <f>IF(ISNA(MATCH(CONCATENATE(AA$2,$A20),'Výsledková listina'!$Q:$Q,0)),"",INDEX('Výsledková listina'!$B:$B,MATCH(CONCATENATE(AA$2,$A20),'Výsledková listina'!$Q:$Q,0),1))</f>
      </c>
      <c r="AB20" s="176"/>
      <c r="AC20" s="177">
        <f t="shared" si="10"/>
      </c>
      <c r="AD20" s="178">
        <f t="shared" si="11"/>
      </c>
      <c r="AE20" s="182"/>
      <c r="AF20" s="99">
        <f>IF(ISNA(MATCH(CONCATENATE(AF$2,$A20),'Výsledková listina'!$Q:$Q,0)),"",INDEX('Výsledková listina'!$B:$B,MATCH(CONCATENATE(AF$2,$A20),'Výsledková listina'!$Q:$Q,0),1))</f>
      </c>
      <c r="AG20" s="176"/>
      <c r="AH20" s="177">
        <f t="shared" si="12"/>
      </c>
      <c r="AI20" s="178">
        <f t="shared" si="13"/>
      </c>
      <c r="AJ20" s="182"/>
      <c r="AK20" s="99">
        <f>IF(ISNA(MATCH(CONCATENATE(AK$2,$A20),'Výsledková listina'!$Q:$Q,0)),"",INDEX('Výsledková listina'!$B:$B,MATCH(CONCATENATE(AK$2,$A20),'Výsledková listina'!$Q:$Q,0),1))</f>
      </c>
      <c r="AL20" s="176"/>
      <c r="AM20" s="177">
        <f t="shared" si="14"/>
      </c>
      <c r="AN20" s="178">
        <f t="shared" si="15"/>
      </c>
      <c r="AO20" s="182"/>
      <c r="AP20" s="99">
        <f>IF(ISNA(MATCH(CONCATENATE(AP$2,$A20),'Výsledková listina'!$Q:$Q,0)),"",INDEX('Výsledková listina'!$B:$B,MATCH(CONCATENATE(AP$2,$A20),'Výsledková listina'!$Q:$Q,0),1))</f>
      </c>
      <c r="AQ20" s="176"/>
      <c r="AR20" s="177">
        <f t="shared" si="16"/>
      </c>
      <c r="AS20" s="178">
        <f t="shared" si="17"/>
      </c>
      <c r="AT20" s="182"/>
      <c r="AU20" s="99">
        <f>IF(ISNA(MATCH(CONCATENATE(AU$2,$A20),'Výsledková listina'!$Q:$Q,0)),"",INDEX('Výsledková listina'!$B:$B,MATCH(CONCATENATE(AU$2,$A20),'Výsledková listina'!$Q:$Q,0),1))</f>
      </c>
      <c r="AV20" s="176"/>
      <c r="AW20" s="177">
        <f t="shared" si="18"/>
      </c>
      <c r="AX20" s="178">
        <f t="shared" si="19"/>
      </c>
      <c r="AY20" s="182"/>
      <c r="AZ20" s="99">
        <f>IF(ISNA(MATCH(CONCATENATE(AZ$2,$A20),'Výsledková listina'!$Q:$Q,0)),"",INDEX('Výsledková listina'!$B:$B,MATCH(CONCATENATE(AZ$2,$A20),'Výsledková listina'!$Q:$Q,0),1))</f>
      </c>
      <c r="BA20" s="176"/>
      <c r="BB20" s="177">
        <f t="shared" si="20"/>
      </c>
      <c r="BC20" s="178">
        <f t="shared" si="21"/>
      </c>
      <c r="BD20" s="182"/>
      <c r="BE20" s="99">
        <f>IF(ISNA(MATCH(CONCATENATE(BE$2,$A20),'Výsledková listina'!$Q:$Q,0)),"",INDEX('Výsledková listina'!$B:$B,MATCH(CONCATENATE(BE$2,$A20),'Výsledková listina'!$Q:$Q,0),1))</f>
      </c>
      <c r="BF20" s="176"/>
      <c r="BG20" s="177">
        <f t="shared" si="22"/>
      </c>
      <c r="BH20" s="178">
        <f t="shared" si="23"/>
      </c>
      <c r="BI20" s="182"/>
      <c r="BJ20" s="99">
        <f>IF(ISNA(MATCH(CONCATENATE(BJ$2,$A20),'Výsledková listina'!$Q:$Q,0)),"",INDEX('Výsledková listina'!$B:$B,MATCH(CONCATENATE(BJ$2,$A20),'Výsledková listina'!$Q:$Q,0),1))</f>
      </c>
      <c r="BK20" s="176"/>
      <c r="BL20" s="177">
        <f t="shared" si="24"/>
      </c>
      <c r="BM20" s="178">
        <f t="shared" si="25"/>
      </c>
      <c r="BN20" s="182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</row>
    <row r="21" spans="1:174" s="181" customFormat="1" ht="34.5" customHeight="1">
      <c r="A21" s="212">
        <v>18</v>
      </c>
      <c r="B21" s="99">
        <f>IF(ISNA(MATCH(CONCATENATE(B$2,$A21),'Výsledková listina'!$Q:$Q,0)),"",INDEX('Výsledková listina'!$B:$B,MATCH(CONCATENATE(B$2,$A21),'Výsledková listina'!$Q:$Q,0),1))</f>
      </c>
      <c r="C21" s="176"/>
      <c r="D21" s="177">
        <f t="shared" si="0"/>
      </c>
      <c r="E21" s="178">
        <f t="shared" si="1"/>
      </c>
      <c r="F21" s="182"/>
      <c r="G21" s="99">
        <f>IF(ISNA(MATCH(CONCATENATE(G$2,$A21),'Výsledková listina'!$Q:$Q,0)),"",INDEX('Výsledková listina'!$B:$B,MATCH(CONCATENATE(G$2,$A21),'Výsledková listina'!$Q:$Q,0),1))</f>
      </c>
      <c r="H21" s="176"/>
      <c r="I21" s="177">
        <f t="shared" si="2"/>
      </c>
      <c r="J21" s="178">
        <f t="shared" si="3"/>
      </c>
      <c r="K21" s="182"/>
      <c r="L21" s="99">
        <f>IF(ISNA(MATCH(CONCATENATE(L$2,$A21),'Výsledková listina'!$Q:$Q,0)),"",INDEX('Výsledková listina'!$B:$B,MATCH(CONCATENATE(L$2,$A21),'Výsledková listina'!$Q:$Q,0),1))</f>
      </c>
      <c r="M21" s="176"/>
      <c r="N21" s="177">
        <f t="shared" si="4"/>
      </c>
      <c r="O21" s="178">
        <f t="shared" si="5"/>
      </c>
      <c r="P21" s="182"/>
      <c r="Q21" s="99">
        <f>IF(ISNA(MATCH(CONCATENATE(Q$2,$A21),'Výsledková listina'!$Q:$Q,0)),"",INDEX('Výsledková listina'!$B:$B,MATCH(CONCATENATE(Q$2,$A21),'Výsledková listina'!$Q:$Q,0),1))</f>
      </c>
      <c r="R21" s="176"/>
      <c r="S21" s="177">
        <f t="shared" si="6"/>
      </c>
      <c r="T21" s="178">
        <f t="shared" si="7"/>
      </c>
      <c r="U21" s="182"/>
      <c r="V21" s="99">
        <f>IF(ISNA(MATCH(CONCATENATE(V$2,$A21),'Výsledková listina'!$Q:$Q,0)),"",INDEX('Výsledková listina'!$B:$B,MATCH(CONCATENATE(V$2,$A21),'Výsledková listina'!$Q:$Q,0),1))</f>
      </c>
      <c r="W21" s="176"/>
      <c r="X21" s="177">
        <f t="shared" si="8"/>
      </c>
      <c r="Y21" s="178">
        <f t="shared" si="9"/>
      </c>
      <c r="Z21" s="182"/>
      <c r="AA21" s="99">
        <f>IF(ISNA(MATCH(CONCATENATE(AA$2,$A21),'Výsledková listina'!$Q:$Q,0)),"",INDEX('Výsledková listina'!$B:$B,MATCH(CONCATENATE(AA$2,$A21),'Výsledková listina'!$Q:$Q,0),1))</f>
      </c>
      <c r="AB21" s="176"/>
      <c r="AC21" s="177">
        <f t="shared" si="10"/>
      </c>
      <c r="AD21" s="178">
        <f t="shared" si="11"/>
      </c>
      <c r="AE21" s="182"/>
      <c r="AF21" s="99">
        <f>IF(ISNA(MATCH(CONCATENATE(AF$2,$A21),'Výsledková listina'!$Q:$Q,0)),"",INDEX('Výsledková listina'!$B:$B,MATCH(CONCATENATE(AF$2,$A21),'Výsledková listina'!$Q:$Q,0),1))</f>
      </c>
      <c r="AG21" s="176"/>
      <c r="AH21" s="177">
        <f t="shared" si="12"/>
      </c>
      <c r="AI21" s="178">
        <f t="shared" si="13"/>
      </c>
      <c r="AJ21" s="182"/>
      <c r="AK21" s="99">
        <f>IF(ISNA(MATCH(CONCATENATE(AK$2,$A21),'Výsledková listina'!$Q:$Q,0)),"",INDEX('Výsledková listina'!$B:$B,MATCH(CONCATENATE(AK$2,$A21),'Výsledková listina'!$Q:$Q,0),1))</f>
      </c>
      <c r="AL21" s="176"/>
      <c r="AM21" s="177">
        <f t="shared" si="14"/>
      </c>
      <c r="AN21" s="178">
        <f t="shared" si="15"/>
      </c>
      <c r="AO21" s="182"/>
      <c r="AP21" s="99">
        <f>IF(ISNA(MATCH(CONCATENATE(AP$2,$A21),'Výsledková listina'!$Q:$Q,0)),"",INDEX('Výsledková listina'!$B:$B,MATCH(CONCATENATE(AP$2,$A21),'Výsledková listina'!$Q:$Q,0),1))</f>
      </c>
      <c r="AQ21" s="176"/>
      <c r="AR21" s="177">
        <f t="shared" si="16"/>
      </c>
      <c r="AS21" s="178">
        <f t="shared" si="17"/>
      </c>
      <c r="AT21" s="182"/>
      <c r="AU21" s="99">
        <f>IF(ISNA(MATCH(CONCATENATE(AU$2,$A21),'Výsledková listina'!$Q:$Q,0)),"",INDEX('Výsledková listina'!$B:$B,MATCH(CONCATENATE(AU$2,$A21),'Výsledková listina'!$Q:$Q,0),1))</f>
      </c>
      <c r="AV21" s="176"/>
      <c r="AW21" s="177">
        <f t="shared" si="18"/>
      </c>
      <c r="AX21" s="178">
        <f t="shared" si="19"/>
      </c>
      <c r="AY21" s="182"/>
      <c r="AZ21" s="99">
        <f>IF(ISNA(MATCH(CONCATENATE(AZ$2,$A21),'Výsledková listina'!$Q:$Q,0)),"",INDEX('Výsledková listina'!$B:$B,MATCH(CONCATENATE(AZ$2,$A21),'Výsledková listina'!$Q:$Q,0),1))</f>
      </c>
      <c r="BA21" s="176"/>
      <c r="BB21" s="177">
        <f t="shared" si="20"/>
      </c>
      <c r="BC21" s="178">
        <f t="shared" si="21"/>
      </c>
      <c r="BD21" s="182"/>
      <c r="BE21" s="99">
        <f>IF(ISNA(MATCH(CONCATENATE(BE$2,$A21),'Výsledková listina'!$Q:$Q,0)),"",INDEX('Výsledková listina'!$B:$B,MATCH(CONCATENATE(BE$2,$A21),'Výsledková listina'!$Q:$Q,0),1))</f>
      </c>
      <c r="BF21" s="176"/>
      <c r="BG21" s="177">
        <f t="shared" si="22"/>
      </c>
      <c r="BH21" s="178">
        <f t="shared" si="23"/>
      </c>
      <c r="BI21" s="182"/>
      <c r="BJ21" s="99">
        <f>IF(ISNA(MATCH(CONCATENATE(BJ$2,$A21),'Výsledková listina'!$Q:$Q,0)),"",INDEX('Výsledková listina'!$B:$B,MATCH(CONCATENATE(BJ$2,$A21),'Výsledková listina'!$Q:$Q,0),1))</f>
      </c>
      <c r="BK21" s="176"/>
      <c r="BL21" s="177">
        <f t="shared" si="24"/>
      </c>
      <c r="BM21" s="178">
        <f t="shared" si="25"/>
      </c>
      <c r="BN21" s="182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</row>
    <row r="22" spans="1:174" s="181" customFormat="1" ht="34.5" customHeight="1">
      <c r="A22" s="212">
        <v>19</v>
      </c>
      <c r="B22" s="99">
        <f>IF(ISNA(MATCH(CONCATENATE(B$2,$A22),'Výsledková listina'!$Q:$Q,0)),"",INDEX('Výsledková listina'!$B:$B,MATCH(CONCATENATE(B$2,$A22),'Výsledková listina'!$Q:$Q,0),1))</f>
      </c>
      <c r="C22" s="176"/>
      <c r="D22" s="177">
        <f t="shared" si="0"/>
      </c>
      <c r="E22" s="178">
        <f t="shared" si="1"/>
      </c>
      <c r="F22" s="182"/>
      <c r="G22" s="99">
        <f>IF(ISNA(MATCH(CONCATENATE(G$2,$A22),'Výsledková listina'!$Q:$Q,0)),"",INDEX('Výsledková listina'!$B:$B,MATCH(CONCATENATE(G$2,$A22),'Výsledková listina'!$Q:$Q,0),1))</f>
      </c>
      <c r="H22" s="176"/>
      <c r="I22" s="177">
        <f t="shared" si="2"/>
      </c>
      <c r="J22" s="178">
        <f t="shared" si="3"/>
      </c>
      <c r="K22" s="182"/>
      <c r="L22" s="99">
        <f>IF(ISNA(MATCH(CONCATENATE(L$2,$A22),'Výsledková listina'!$Q:$Q,0)),"",INDEX('Výsledková listina'!$B:$B,MATCH(CONCATENATE(L$2,$A22),'Výsledková listina'!$Q:$Q,0),1))</f>
      </c>
      <c r="M22" s="176"/>
      <c r="N22" s="177">
        <f t="shared" si="4"/>
      </c>
      <c r="O22" s="178">
        <f t="shared" si="5"/>
      </c>
      <c r="P22" s="182"/>
      <c r="Q22" s="99">
        <f>IF(ISNA(MATCH(CONCATENATE(Q$2,$A22),'Výsledková listina'!$Q:$Q,0)),"",INDEX('Výsledková listina'!$B:$B,MATCH(CONCATENATE(Q$2,$A22),'Výsledková listina'!$Q:$Q,0),1))</f>
      </c>
      <c r="R22" s="176"/>
      <c r="S22" s="177">
        <f t="shared" si="6"/>
      </c>
      <c r="T22" s="178">
        <f t="shared" si="7"/>
      </c>
      <c r="U22" s="182"/>
      <c r="V22" s="99">
        <f>IF(ISNA(MATCH(CONCATENATE(V$2,$A22),'Výsledková listina'!$Q:$Q,0)),"",INDEX('Výsledková listina'!$B:$B,MATCH(CONCATENATE(V$2,$A22),'Výsledková listina'!$Q:$Q,0),1))</f>
      </c>
      <c r="W22" s="176"/>
      <c r="X22" s="177">
        <f t="shared" si="8"/>
      </c>
      <c r="Y22" s="178">
        <f t="shared" si="9"/>
      </c>
      <c r="Z22" s="182"/>
      <c r="AA22" s="99">
        <f>IF(ISNA(MATCH(CONCATENATE(AA$2,$A22),'Výsledková listina'!$Q:$Q,0)),"",INDEX('Výsledková listina'!$B:$B,MATCH(CONCATENATE(AA$2,$A22),'Výsledková listina'!$Q:$Q,0),1))</f>
      </c>
      <c r="AB22" s="176"/>
      <c r="AC22" s="177">
        <f t="shared" si="10"/>
      </c>
      <c r="AD22" s="178">
        <f t="shared" si="11"/>
      </c>
      <c r="AE22" s="182"/>
      <c r="AF22" s="99">
        <f>IF(ISNA(MATCH(CONCATENATE(AF$2,$A22),'Výsledková listina'!$Q:$Q,0)),"",INDEX('Výsledková listina'!$B:$B,MATCH(CONCATENATE(AF$2,$A22),'Výsledková listina'!$Q:$Q,0),1))</f>
      </c>
      <c r="AG22" s="176"/>
      <c r="AH22" s="177">
        <f t="shared" si="12"/>
      </c>
      <c r="AI22" s="178">
        <f t="shared" si="13"/>
      </c>
      <c r="AJ22" s="182"/>
      <c r="AK22" s="99">
        <f>IF(ISNA(MATCH(CONCATENATE(AK$2,$A22),'Výsledková listina'!$Q:$Q,0)),"",INDEX('Výsledková listina'!$B:$B,MATCH(CONCATENATE(AK$2,$A22),'Výsledková listina'!$Q:$Q,0),1))</f>
      </c>
      <c r="AL22" s="176"/>
      <c r="AM22" s="177">
        <f t="shared" si="14"/>
      </c>
      <c r="AN22" s="178">
        <f t="shared" si="15"/>
      </c>
      <c r="AO22" s="182"/>
      <c r="AP22" s="99">
        <f>IF(ISNA(MATCH(CONCATENATE(AP$2,$A22),'Výsledková listina'!$Q:$Q,0)),"",INDEX('Výsledková listina'!$B:$B,MATCH(CONCATENATE(AP$2,$A22),'Výsledková listina'!$Q:$Q,0),1))</f>
      </c>
      <c r="AQ22" s="176"/>
      <c r="AR22" s="177">
        <f t="shared" si="16"/>
      </c>
      <c r="AS22" s="178">
        <f t="shared" si="17"/>
      </c>
      <c r="AT22" s="182"/>
      <c r="AU22" s="99">
        <f>IF(ISNA(MATCH(CONCATENATE(AU$2,$A22),'Výsledková listina'!$Q:$Q,0)),"",INDEX('Výsledková listina'!$B:$B,MATCH(CONCATENATE(AU$2,$A22),'Výsledková listina'!$Q:$Q,0),1))</f>
      </c>
      <c r="AV22" s="176"/>
      <c r="AW22" s="177">
        <f t="shared" si="18"/>
      </c>
      <c r="AX22" s="178">
        <f t="shared" si="19"/>
      </c>
      <c r="AY22" s="182"/>
      <c r="AZ22" s="99">
        <f>IF(ISNA(MATCH(CONCATENATE(AZ$2,$A22),'Výsledková listina'!$Q:$Q,0)),"",INDEX('Výsledková listina'!$B:$B,MATCH(CONCATENATE(AZ$2,$A22),'Výsledková listina'!$Q:$Q,0),1))</f>
      </c>
      <c r="BA22" s="176"/>
      <c r="BB22" s="177">
        <f t="shared" si="20"/>
      </c>
      <c r="BC22" s="178">
        <f t="shared" si="21"/>
      </c>
      <c r="BD22" s="182"/>
      <c r="BE22" s="99">
        <f>IF(ISNA(MATCH(CONCATENATE(BE$2,$A22),'Výsledková listina'!$Q:$Q,0)),"",INDEX('Výsledková listina'!$B:$B,MATCH(CONCATENATE(BE$2,$A22),'Výsledková listina'!$Q:$Q,0),1))</f>
      </c>
      <c r="BF22" s="176"/>
      <c r="BG22" s="177">
        <f t="shared" si="22"/>
      </c>
      <c r="BH22" s="178">
        <f t="shared" si="23"/>
      </c>
      <c r="BI22" s="182"/>
      <c r="BJ22" s="99">
        <f>IF(ISNA(MATCH(CONCATENATE(BJ$2,$A22),'Výsledková listina'!$Q:$Q,0)),"",INDEX('Výsledková listina'!$B:$B,MATCH(CONCATENATE(BJ$2,$A22),'Výsledková listina'!$Q:$Q,0),1))</f>
      </c>
      <c r="BK22" s="176"/>
      <c r="BL22" s="177">
        <f t="shared" si="24"/>
      </c>
      <c r="BM22" s="178">
        <f t="shared" si="25"/>
      </c>
      <c r="BN22" s="182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</row>
    <row r="23" spans="1:174" s="181" customFormat="1" ht="34.5" customHeight="1">
      <c r="A23" s="212">
        <v>20</v>
      </c>
      <c r="B23" s="99">
        <f>IF(ISNA(MATCH(CONCATENATE(B$2,$A23),'Výsledková listina'!$Q:$Q,0)),"",INDEX('Výsledková listina'!$B:$B,MATCH(CONCATENATE(B$2,$A23),'Výsledková listina'!$Q:$Q,0),1))</f>
      </c>
      <c r="C23" s="176"/>
      <c r="D23" s="177">
        <f t="shared" si="0"/>
      </c>
      <c r="E23" s="178">
        <f t="shared" si="1"/>
      </c>
      <c r="F23" s="182"/>
      <c r="G23" s="99">
        <f>IF(ISNA(MATCH(CONCATENATE(G$2,$A23),'Výsledková listina'!$Q:$Q,0)),"",INDEX('Výsledková listina'!$B:$B,MATCH(CONCATENATE(G$2,$A23),'Výsledková listina'!$Q:$Q,0),1))</f>
      </c>
      <c r="H23" s="176"/>
      <c r="I23" s="177">
        <f t="shared" si="2"/>
      </c>
      <c r="J23" s="178">
        <f t="shared" si="3"/>
      </c>
      <c r="K23" s="182"/>
      <c r="L23" s="99">
        <f>IF(ISNA(MATCH(CONCATENATE(L$2,$A23),'Výsledková listina'!$Q:$Q,0)),"",INDEX('Výsledková listina'!$B:$B,MATCH(CONCATENATE(L$2,$A23),'Výsledková listina'!$Q:$Q,0),1))</f>
      </c>
      <c r="M23" s="176"/>
      <c r="N23" s="177">
        <f t="shared" si="4"/>
      </c>
      <c r="O23" s="178">
        <f t="shared" si="5"/>
      </c>
      <c r="P23" s="182"/>
      <c r="Q23" s="99">
        <f>IF(ISNA(MATCH(CONCATENATE(Q$2,$A23),'Výsledková listina'!$Q:$Q,0)),"",INDEX('Výsledková listina'!$B:$B,MATCH(CONCATENATE(Q$2,$A23),'Výsledková listina'!$Q:$Q,0),1))</f>
      </c>
      <c r="R23" s="176"/>
      <c r="S23" s="177">
        <f t="shared" si="6"/>
      </c>
      <c r="T23" s="178">
        <f t="shared" si="7"/>
      </c>
      <c r="U23" s="182"/>
      <c r="V23" s="99">
        <f>IF(ISNA(MATCH(CONCATENATE(V$2,$A23),'Výsledková listina'!$Q:$Q,0)),"",INDEX('Výsledková listina'!$B:$B,MATCH(CONCATENATE(V$2,$A23),'Výsledková listina'!$Q:$Q,0),1))</f>
      </c>
      <c r="W23" s="176"/>
      <c r="X23" s="177">
        <f t="shared" si="8"/>
      </c>
      <c r="Y23" s="178">
        <f t="shared" si="9"/>
      </c>
      <c r="Z23" s="182"/>
      <c r="AA23" s="99">
        <f>IF(ISNA(MATCH(CONCATENATE(AA$2,$A23),'Výsledková listina'!$Q:$Q,0)),"",INDEX('Výsledková listina'!$B:$B,MATCH(CONCATENATE(AA$2,$A23),'Výsledková listina'!$Q:$Q,0),1))</f>
      </c>
      <c r="AB23" s="176"/>
      <c r="AC23" s="177">
        <f t="shared" si="10"/>
      </c>
      <c r="AD23" s="178">
        <f t="shared" si="11"/>
      </c>
      <c r="AE23" s="182"/>
      <c r="AF23" s="99">
        <f>IF(ISNA(MATCH(CONCATENATE(AF$2,$A23),'Výsledková listina'!$Q:$Q,0)),"",INDEX('Výsledková listina'!$B:$B,MATCH(CONCATENATE(AF$2,$A23),'Výsledková listina'!$Q:$Q,0),1))</f>
      </c>
      <c r="AG23" s="176"/>
      <c r="AH23" s="177">
        <f t="shared" si="12"/>
      </c>
      <c r="AI23" s="178">
        <f t="shared" si="13"/>
      </c>
      <c r="AJ23" s="182"/>
      <c r="AK23" s="99">
        <f>IF(ISNA(MATCH(CONCATENATE(AK$2,$A23),'Výsledková listina'!$Q:$Q,0)),"",INDEX('Výsledková listina'!$B:$B,MATCH(CONCATENATE(AK$2,$A23),'Výsledková listina'!$Q:$Q,0),1))</f>
      </c>
      <c r="AL23" s="176"/>
      <c r="AM23" s="177">
        <f t="shared" si="14"/>
      </c>
      <c r="AN23" s="178">
        <f t="shared" si="15"/>
      </c>
      <c r="AO23" s="182"/>
      <c r="AP23" s="99">
        <f>IF(ISNA(MATCH(CONCATENATE(AP$2,$A23),'Výsledková listina'!$Q:$Q,0)),"",INDEX('Výsledková listina'!$B:$B,MATCH(CONCATENATE(AP$2,$A23),'Výsledková listina'!$Q:$Q,0),1))</f>
      </c>
      <c r="AQ23" s="176"/>
      <c r="AR23" s="177">
        <f t="shared" si="16"/>
      </c>
      <c r="AS23" s="178">
        <f t="shared" si="17"/>
      </c>
      <c r="AT23" s="182"/>
      <c r="AU23" s="99">
        <f>IF(ISNA(MATCH(CONCATENATE(AU$2,$A23),'Výsledková listina'!$Q:$Q,0)),"",INDEX('Výsledková listina'!$B:$B,MATCH(CONCATENATE(AU$2,$A23),'Výsledková listina'!$Q:$Q,0),1))</f>
      </c>
      <c r="AV23" s="176"/>
      <c r="AW23" s="177">
        <f t="shared" si="18"/>
      </c>
      <c r="AX23" s="178">
        <f t="shared" si="19"/>
      </c>
      <c r="AY23" s="182"/>
      <c r="AZ23" s="99">
        <f>IF(ISNA(MATCH(CONCATENATE(AZ$2,$A23),'Výsledková listina'!$Q:$Q,0)),"",INDEX('Výsledková listina'!$B:$B,MATCH(CONCATENATE(AZ$2,$A23),'Výsledková listina'!$Q:$Q,0),1))</f>
      </c>
      <c r="BA23" s="176"/>
      <c r="BB23" s="177">
        <f t="shared" si="20"/>
      </c>
      <c r="BC23" s="178">
        <f t="shared" si="21"/>
      </c>
      <c r="BD23" s="182"/>
      <c r="BE23" s="99">
        <f>IF(ISNA(MATCH(CONCATENATE(BE$2,$A23),'Výsledková listina'!$Q:$Q,0)),"",INDEX('Výsledková listina'!$B:$B,MATCH(CONCATENATE(BE$2,$A23),'Výsledková listina'!$Q:$Q,0),1))</f>
      </c>
      <c r="BF23" s="176"/>
      <c r="BG23" s="177">
        <f t="shared" si="22"/>
      </c>
      <c r="BH23" s="178">
        <f t="shared" si="23"/>
      </c>
      <c r="BI23" s="182"/>
      <c r="BJ23" s="99">
        <f>IF(ISNA(MATCH(CONCATENATE(BJ$2,$A23),'Výsledková listina'!$Q:$Q,0)),"",INDEX('Výsledková listina'!$B:$B,MATCH(CONCATENATE(BJ$2,$A23),'Výsledková listina'!$Q:$Q,0),1))</f>
      </c>
      <c r="BK23" s="176"/>
      <c r="BL23" s="177">
        <f t="shared" si="24"/>
      </c>
      <c r="BM23" s="178">
        <f t="shared" si="25"/>
      </c>
      <c r="BN23" s="182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</row>
    <row r="24" spans="1:174" s="181" customFormat="1" ht="34.5" customHeight="1">
      <c r="A24" s="212">
        <v>21</v>
      </c>
      <c r="B24" s="99">
        <f>IF(ISNA(MATCH(CONCATENATE(B$2,$A24),'Výsledková listina'!$Q:$Q,0)),"",INDEX('Výsledková listina'!$B:$B,MATCH(CONCATENATE(B$2,$A24),'Výsledková listina'!$Q:$Q,0),1))</f>
      </c>
      <c r="C24" s="176"/>
      <c r="D24" s="177">
        <f t="shared" si="0"/>
      </c>
      <c r="E24" s="178">
        <f t="shared" si="1"/>
      </c>
      <c r="F24" s="182"/>
      <c r="G24" s="99">
        <f>IF(ISNA(MATCH(CONCATENATE(G$2,$A24),'Výsledková listina'!$Q:$Q,0)),"",INDEX('Výsledková listina'!$B:$B,MATCH(CONCATENATE(G$2,$A24),'Výsledková listina'!$Q:$Q,0),1))</f>
      </c>
      <c r="H24" s="176"/>
      <c r="I24" s="177">
        <f t="shared" si="2"/>
      </c>
      <c r="J24" s="178">
        <f t="shared" si="3"/>
      </c>
      <c r="K24" s="182"/>
      <c r="L24" s="99">
        <f>IF(ISNA(MATCH(CONCATENATE(L$2,$A24),'Výsledková listina'!$Q:$Q,0)),"",INDEX('Výsledková listina'!$B:$B,MATCH(CONCATENATE(L$2,$A24),'Výsledková listina'!$Q:$Q,0),1))</f>
      </c>
      <c r="M24" s="176"/>
      <c r="N24" s="177">
        <f t="shared" si="4"/>
      </c>
      <c r="O24" s="178">
        <f t="shared" si="5"/>
      </c>
      <c r="P24" s="182"/>
      <c r="Q24" s="99">
        <f>IF(ISNA(MATCH(CONCATENATE(Q$2,$A24),'Výsledková listina'!$Q:$Q,0)),"",INDEX('Výsledková listina'!$B:$B,MATCH(CONCATENATE(Q$2,$A24),'Výsledková listina'!$Q:$Q,0),1))</f>
      </c>
      <c r="R24" s="176"/>
      <c r="S24" s="177">
        <f t="shared" si="6"/>
      </c>
      <c r="T24" s="178">
        <f t="shared" si="7"/>
      </c>
      <c r="U24" s="182"/>
      <c r="V24" s="99">
        <f>IF(ISNA(MATCH(CONCATENATE(V$2,$A24),'Výsledková listina'!$Q:$Q,0)),"",INDEX('Výsledková listina'!$B:$B,MATCH(CONCATENATE(V$2,$A24),'Výsledková listina'!$Q:$Q,0),1))</f>
      </c>
      <c r="W24" s="176"/>
      <c r="X24" s="177">
        <f t="shared" si="8"/>
      </c>
      <c r="Y24" s="178">
        <f t="shared" si="9"/>
      </c>
      <c r="Z24" s="182"/>
      <c r="AA24" s="99">
        <f>IF(ISNA(MATCH(CONCATENATE(AA$2,$A24),'Výsledková listina'!$Q:$Q,0)),"",INDEX('Výsledková listina'!$B:$B,MATCH(CONCATENATE(AA$2,$A24),'Výsledková listina'!$Q:$Q,0),1))</f>
      </c>
      <c r="AB24" s="176"/>
      <c r="AC24" s="177">
        <f t="shared" si="10"/>
      </c>
      <c r="AD24" s="178">
        <f t="shared" si="11"/>
      </c>
      <c r="AE24" s="182"/>
      <c r="AF24" s="99">
        <f>IF(ISNA(MATCH(CONCATENATE(AF$2,$A24),'Výsledková listina'!$Q:$Q,0)),"",INDEX('Výsledková listina'!$B:$B,MATCH(CONCATENATE(AF$2,$A24),'Výsledková listina'!$Q:$Q,0),1))</f>
      </c>
      <c r="AG24" s="176"/>
      <c r="AH24" s="177">
        <f t="shared" si="12"/>
      </c>
      <c r="AI24" s="178">
        <f t="shared" si="13"/>
      </c>
      <c r="AJ24" s="182"/>
      <c r="AK24" s="99">
        <f>IF(ISNA(MATCH(CONCATENATE(AK$2,$A24),'Výsledková listina'!$Q:$Q,0)),"",INDEX('Výsledková listina'!$B:$B,MATCH(CONCATENATE(AK$2,$A24),'Výsledková listina'!$Q:$Q,0),1))</f>
      </c>
      <c r="AL24" s="176"/>
      <c r="AM24" s="177">
        <f t="shared" si="14"/>
      </c>
      <c r="AN24" s="178">
        <f t="shared" si="15"/>
      </c>
      <c r="AO24" s="182"/>
      <c r="AP24" s="99">
        <f>IF(ISNA(MATCH(CONCATENATE(AP$2,$A24),'Výsledková listina'!$Q:$Q,0)),"",INDEX('Výsledková listina'!$B:$B,MATCH(CONCATENATE(AP$2,$A24),'Výsledková listina'!$Q:$Q,0),1))</f>
      </c>
      <c r="AQ24" s="176"/>
      <c r="AR24" s="177">
        <f t="shared" si="16"/>
      </c>
      <c r="AS24" s="178">
        <f t="shared" si="17"/>
      </c>
      <c r="AT24" s="182"/>
      <c r="AU24" s="99">
        <f>IF(ISNA(MATCH(CONCATENATE(AU$2,$A24),'Výsledková listina'!$Q:$Q,0)),"",INDEX('Výsledková listina'!$B:$B,MATCH(CONCATENATE(AU$2,$A24),'Výsledková listina'!$Q:$Q,0),1))</f>
      </c>
      <c r="AV24" s="176"/>
      <c r="AW24" s="177">
        <f t="shared" si="18"/>
      </c>
      <c r="AX24" s="178">
        <f t="shared" si="19"/>
      </c>
      <c r="AY24" s="182"/>
      <c r="AZ24" s="99">
        <f>IF(ISNA(MATCH(CONCATENATE(AZ$2,$A24),'Výsledková listina'!$Q:$Q,0)),"",INDEX('Výsledková listina'!$B:$B,MATCH(CONCATENATE(AZ$2,$A24),'Výsledková listina'!$Q:$Q,0),1))</f>
      </c>
      <c r="BA24" s="176"/>
      <c r="BB24" s="177">
        <f t="shared" si="20"/>
      </c>
      <c r="BC24" s="178">
        <f t="shared" si="21"/>
      </c>
      <c r="BD24" s="182"/>
      <c r="BE24" s="99">
        <f>IF(ISNA(MATCH(CONCATENATE(BE$2,$A24),'Výsledková listina'!$Q:$Q,0)),"",INDEX('Výsledková listina'!$B:$B,MATCH(CONCATENATE(BE$2,$A24),'Výsledková listina'!$Q:$Q,0),1))</f>
      </c>
      <c r="BF24" s="176"/>
      <c r="BG24" s="177">
        <f t="shared" si="22"/>
      </c>
      <c r="BH24" s="178">
        <f t="shared" si="23"/>
      </c>
      <c r="BI24" s="182"/>
      <c r="BJ24" s="99">
        <f>IF(ISNA(MATCH(CONCATENATE(BJ$2,$A24),'Výsledková listina'!$Q:$Q,0)),"",INDEX('Výsledková listina'!$B:$B,MATCH(CONCATENATE(BJ$2,$A24),'Výsledková listina'!$Q:$Q,0),1))</f>
      </c>
      <c r="BK24" s="176"/>
      <c r="BL24" s="177">
        <f t="shared" si="24"/>
      </c>
      <c r="BM24" s="178">
        <f t="shared" si="25"/>
      </c>
      <c r="BN24" s="182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</row>
    <row r="25" spans="1:174" s="181" customFormat="1" ht="34.5" customHeight="1">
      <c r="A25" s="212">
        <v>22</v>
      </c>
      <c r="B25" s="99">
        <f>IF(ISNA(MATCH(CONCATENATE(B$2,$A25),'Výsledková listina'!$Q:$Q,0)),"",INDEX('Výsledková listina'!$B:$B,MATCH(CONCATENATE(B$2,$A25),'Výsledková listina'!$Q:$Q,0),1))</f>
      </c>
      <c r="C25" s="176"/>
      <c r="D25" s="177">
        <f t="shared" si="0"/>
      </c>
      <c r="E25" s="178">
        <f t="shared" si="1"/>
      </c>
      <c r="F25" s="182"/>
      <c r="G25" s="99">
        <f>IF(ISNA(MATCH(CONCATENATE(G$2,$A25),'Výsledková listina'!$Q:$Q,0)),"",INDEX('Výsledková listina'!$B:$B,MATCH(CONCATENATE(G$2,$A25),'Výsledková listina'!$Q:$Q,0),1))</f>
      </c>
      <c r="H25" s="176"/>
      <c r="I25" s="177">
        <f t="shared" si="2"/>
      </c>
      <c r="J25" s="178">
        <f t="shared" si="3"/>
      </c>
      <c r="K25" s="182"/>
      <c r="L25" s="99">
        <f>IF(ISNA(MATCH(CONCATENATE(L$2,$A25),'Výsledková listina'!$Q:$Q,0)),"",INDEX('Výsledková listina'!$B:$B,MATCH(CONCATENATE(L$2,$A25),'Výsledková listina'!$Q:$Q,0),1))</f>
      </c>
      <c r="M25" s="176"/>
      <c r="N25" s="177">
        <f t="shared" si="4"/>
      </c>
      <c r="O25" s="178">
        <f t="shared" si="5"/>
      </c>
      <c r="P25" s="182"/>
      <c r="Q25" s="99">
        <f>IF(ISNA(MATCH(CONCATENATE(Q$2,$A25),'Výsledková listina'!$Q:$Q,0)),"",INDEX('Výsledková listina'!$B:$B,MATCH(CONCATENATE(Q$2,$A25),'Výsledková listina'!$Q:$Q,0),1))</f>
      </c>
      <c r="R25" s="176"/>
      <c r="S25" s="177">
        <f t="shared" si="6"/>
      </c>
      <c r="T25" s="178">
        <f t="shared" si="7"/>
      </c>
      <c r="U25" s="182"/>
      <c r="V25" s="99">
        <f>IF(ISNA(MATCH(CONCATENATE(V$2,$A25),'Výsledková listina'!$Q:$Q,0)),"",INDEX('Výsledková listina'!$B:$B,MATCH(CONCATENATE(V$2,$A25),'Výsledková listina'!$Q:$Q,0),1))</f>
      </c>
      <c r="W25" s="176"/>
      <c r="X25" s="177">
        <f t="shared" si="8"/>
      </c>
      <c r="Y25" s="178">
        <f t="shared" si="9"/>
      </c>
      <c r="Z25" s="182"/>
      <c r="AA25" s="99">
        <f>IF(ISNA(MATCH(CONCATENATE(AA$2,$A25),'Výsledková listina'!$Q:$Q,0)),"",INDEX('Výsledková listina'!$B:$B,MATCH(CONCATENATE(AA$2,$A25),'Výsledková listina'!$Q:$Q,0),1))</f>
      </c>
      <c r="AB25" s="176"/>
      <c r="AC25" s="177">
        <f t="shared" si="10"/>
      </c>
      <c r="AD25" s="178">
        <f t="shared" si="11"/>
      </c>
      <c r="AE25" s="182"/>
      <c r="AF25" s="99">
        <f>IF(ISNA(MATCH(CONCATENATE(AF$2,$A25),'Výsledková listina'!$Q:$Q,0)),"",INDEX('Výsledková listina'!$B:$B,MATCH(CONCATENATE(AF$2,$A25),'Výsledková listina'!$Q:$Q,0),1))</f>
      </c>
      <c r="AG25" s="176"/>
      <c r="AH25" s="177">
        <f t="shared" si="12"/>
      </c>
      <c r="AI25" s="178">
        <f t="shared" si="13"/>
      </c>
      <c r="AJ25" s="182"/>
      <c r="AK25" s="99">
        <f>IF(ISNA(MATCH(CONCATENATE(AK$2,$A25),'Výsledková listina'!$Q:$Q,0)),"",INDEX('Výsledková listina'!$B:$B,MATCH(CONCATENATE(AK$2,$A25),'Výsledková listina'!$Q:$Q,0),1))</f>
      </c>
      <c r="AL25" s="176"/>
      <c r="AM25" s="177">
        <f t="shared" si="14"/>
      </c>
      <c r="AN25" s="178">
        <f t="shared" si="15"/>
      </c>
      <c r="AO25" s="182"/>
      <c r="AP25" s="99">
        <f>IF(ISNA(MATCH(CONCATENATE(AP$2,$A25),'Výsledková listina'!$Q:$Q,0)),"",INDEX('Výsledková listina'!$B:$B,MATCH(CONCATENATE(AP$2,$A25),'Výsledková listina'!$Q:$Q,0),1))</f>
      </c>
      <c r="AQ25" s="176"/>
      <c r="AR25" s="177">
        <f t="shared" si="16"/>
      </c>
      <c r="AS25" s="178">
        <f t="shared" si="17"/>
      </c>
      <c r="AT25" s="182"/>
      <c r="AU25" s="99">
        <f>IF(ISNA(MATCH(CONCATENATE(AU$2,$A25),'Výsledková listina'!$Q:$Q,0)),"",INDEX('Výsledková listina'!$B:$B,MATCH(CONCATENATE(AU$2,$A25),'Výsledková listina'!$Q:$Q,0),1))</f>
      </c>
      <c r="AV25" s="176"/>
      <c r="AW25" s="177">
        <f t="shared" si="18"/>
      </c>
      <c r="AX25" s="178">
        <f t="shared" si="19"/>
      </c>
      <c r="AY25" s="182"/>
      <c r="AZ25" s="99">
        <f>IF(ISNA(MATCH(CONCATENATE(AZ$2,$A25),'Výsledková listina'!$Q:$Q,0)),"",INDEX('Výsledková listina'!$B:$B,MATCH(CONCATENATE(AZ$2,$A25),'Výsledková listina'!$Q:$Q,0),1))</f>
      </c>
      <c r="BA25" s="176"/>
      <c r="BB25" s="177">
        <f t="shared" si="20"/>
      </c>
      <c r="BC25" s="178">
        <f t="shared" si="21"/>
      </c>
      <c r="BD25" s="182"/>
      <c r="BE25" s="99">
        <f>IF(ISNA(MATCH(CONCATENATE(BE$2,$A25),'Výsledková listina'!$Q:$Q,0)),"",INDEX('Výsledková listina'!$B:$B,MATCH(CONCATENATE(BE$2,$A25),'Výsledková listina'!$Q:$Q,0),1))</f>
      </c>
      <c r="BF25" s="176"/>
      <c r="BG25" s="177">
        <f t="shared" si="22"/>
      </c>
      <c r="BH25" s="178">
        <f t="shared" si="23"/>
      </c>
      <c r="BI25" s="182"/>
      <c r="BJ25" s="99">
        <f>IF(ISNA(MATCH(CONCATENATE(BJ$2,$A25),'Výsledková listina'!$Q:$Q,0)),"",INDEX('Výsledková listina'!$B:$B,MATCH(CONCATENATE(BJ$2,$A25),'Výsledková listina'!$Q:$Q,0),1))</f>
      </c>
      <c r="BK25" s="176"/>
      <c r="BL25" s="177">
        <f t="shared" si="24"/>
      </c>
      <c r="BM25" s="178">
        <f t="shared" si="25"/>
      </c>
      <c r="BN25" s="182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</row>
    <row r="26" spans="1:174" s="181" customFormat="1" ht="34.5" customHeight="1">
      <c r="A26" s="212">
        <v>23</v>
      </c>
      <c r="B26" s="99">
        <f>IF(ISNA(MATCH(CONCATENATE(B$2,$A26),'Výsledková listina'!$Q:$Q,0)),"",INDEX('Výsledková listina'!$B:$B,MATCH(CONCATENATE(B$2,$A26),'Výsledková listina'!$Q:$Q,0),1))</f>
      </c>
      <c r="C26" s="176"/>
      <c r="D26" s="177">
        <f t="shared" si="0"/>
      </c>
      <c r="E26" s="178">
        <f t="shared" si="1"/>
      </c>
      <c r="F26" s="182"/>
      <c r="G26" s="99">
        <f>IF(ISNA(MATCH(CONCATENATE(G$2,$A26),'Výsledková listina'!$Q:$Q,0)),"",INDEX('Výsledková listina'!$B:$B,MATCH(CONCATENATE(G$2,$A26),'Výsledková listina'!$Q:$Q,0),1))</f>
      </c>
      <c r="H26" s="176"/>
      <c r="I26" s="177">
        <f t="shared" si="2"/>
      </c>
      <c r="J26" s="178">
        <f t="shared" si="3"/>
      </c>
      <c r="K26" s="182"/>
      <c r="L26" s="99">
        <f>IF(ISNA(MATCH(CONCATENATE(L$2,$A26),'Výsledková listina'!$Q:$Q,0)),"",INDEX('Výsledková listina'!$B:$B,MATCH(CONCATENATE(L$2,$A26),'Výsledková listina'!$Q:$Q,0),1))</f>
      </c>
      <c r="M26" s="176"/>
      <c r="N26" s="177">
        <f t="shared" si="4"/>
      </c>
      <c r="O26" s="178">
        <f t="shared" si="5"/>
      </c>
      <c r="P26" s="182"/>
      <c r="Q26" s="99">
        <f>IF(ISNA(MATCH(CONCATENATE(Q$2,$A26),'Výsledková listina'!$Q:$Q,0)),"",INDEX('Výsledková listina'!$B:$B,MATCH(CONCATENATE(Q$2,$A26),'Výsledková listina'!$Q:$Q,0),1))</f>
      </c>
      <c r="R26" s="176"/>
      <c r="S26" s="177">
        <f t="shared" si="6"/>
      </c>
      <c r="T26" s="178">
        <f t="shared" si="7"/>
      </c>
      <c r="U26" s="182"/>
      <c r="V26" s="99">
        <f>IF(ISNA(MATCH(CONCATENATE(V$2,$A26),'Výsledková listina'!$Q:$Q,0)),"",INDEX('Výsledková listina'!$B:$B,MATCH(CONCATENATE(V$2,$A26),'Výsledková listina'!$Q:$Q,0),1))</f>
      </c>
      <c r="W26" s="176"/>
      <c r="X26" s="177">
        <f t="shared" si="8"/>
      </c>
      <c r="Y26" s="178">
        <f t="shared" si="9"/>
      </c>
      <c r="Z26" s="182"/>
      <c r="AA26" s="99">
        <f>IF(ISNA(MATCH(CONCATENATE(AA$2,$A26),'Výsledková listina'!$Q:$Q,0)),"",INDEX('Výsledková listina'!$B:$B,MATCH(CONCATENATE(AA$2,$A26),'Výsledková listina'!$Q:$Q,0),1))</f>
      </c>
      <c r="AB26" s="176"/>
      <c r="AC26" s="177">
        <f t="shared" si="10"/>
      </c>
      <c r="AD26" s="178">
        <f t="shared" si="11"/>
      </c>
      <c r="AE26" s="182"/>
      <c r="AF26" s="99">
        <f>IF(ISNA(MATCH(CONCATENATE(AF$2,$A26),'Výsledková listina'!$Q:$Q,0)),"",INDEX('Výsledková listina'!$B:$B,MATCH(CONCATENATE(AF$2,$A26),'Výsledková listina'!$Q:$Q,0),1))</f>
      </c>
      <c r="AG26" s="176"/>
      <c r="AH26" s="177">
        <f t="shared" si="12"/>
      </c>
      <c r="AI26" s="178">
        <f t="shared" si="13"/>
      </c>
      <c r="AJ26" s="182"/>
      <c r="AK26" s="99">
        <f>IF(ISNA(MATCH(CONCATENATE(AK$2,$A26),'Výsledková listina'!$Q:$Q,0)),"",INDEX('Výsledková listina'!$B:$B,MATCH(CONCATENATE(AK$2,$A26),'Výsledková listina'!$Q:$Q,0),1))</f>
      </c>
      <c r="AL26" s="176"/>
      <c r="AM26" s="177">
        <f t="shared" si="14"/>
      </c>
      <c r="AN26" s="178">
        <f t="shared" si="15"/>
      </c>
      <c r="AO26" s="182"/>
      <c r="AP26" s="99">
        <f>IF(ISNA(MATCH(CONCATENATE(AP$2,$A26),'Výsledková listina'!$Q:$Q,0)),"",INDEX('Výsledková listina'!$B:$B,MATCH(CONCATENATE(AP$2,$A26),'Výsledková listina'!$Q:$Q,0),1))</f>
      </c>
      <c r="AQ26" s="176"/>
      <c r="AR26" s="177">
        <f t="shared" si="16"/>
      </c>
      <c r="AS26" s="178">
        <f t="shared" si="17"/>
      </c>
      <c r="AT26" s="182"/>
      <c r="AU26" s="99">
        <f>IF(ISNA(MATCH(CONCATENATE(AU$2,$A26),'Výsledková listina'!$Q:$Q,0)),"",INDEX('Výsledková listina'!$B:$B,MATCH(CONCATENATE(AU$2,$A26),'Výsledková listina'!$Q:$Q,0),1))</f>
      </c>
      <c r="AV26" s="176"/>
      <c r="AW26" s="177">
        <f t="shared" si="18"/>
      </c>
      <c r="AX26" s="178">
        <f t="shared" si="19"/>
      </c>
      <c r="AY26" s="182"/>
      <c r="AZ26" s="99">
        <f>IF(ISNA(MATCH(CONCATENATE(AZ$2,$A26),'Výsledková listina'!$Q:$Q,0)),"",INDEX('Výsledková listina'!$B:$B,MATCH(CONCATENATE(AZ$2,$A26),'Výsledková listina'!$Q:$Q,0),1))</f>
      </c>
      <c r="BA26" s="176"/>
      <c r="BB26" s="177">
        <f t="shared" si="20"/>
      </c>
      <c r="BC26" s="178">
        <f t="shared" si="21"/>
      </c>
      <c r="BD26" s="182"/>
      <c r="BE26" s="99">
        <f>IF(ISNA(MATCH(CONCATENATE(BE$2,$A26),'Výsledková listina'!$Q:$Q,0)),"",INDEX('Výsledková listina'!$B:$B,MATCH(CONCATENATE(BE$2,$A26),'Výsledková listina'!$Q:$Q,0),1))</f>
      </c>
      <c r="BF26" s="176"/>
      <c r="BG26" s="177">
        <f t="shared" si="22"/>
      </c>
      <c r="BH26" s="178">
        <f t="shared" si="23"/>
      </c>
      <c r="BI26" s="182"/>
      <c r="BJ26" s="99">
        <f>IF(ISNA(MATCH(CONCATENATE(BJ$2,$A26),'Výsledková listina'!$Q:$Q,0)),"",INDEX('Výsledková listina'!$B:$B,MATCH(CONCATENATE(BJ$2,$A26),'Výsledková listina'!$Q:$Q,0),1))</f>
      </c>
      <c r="BK26" s="176"/>
      <c r="BL26" s="177">
        <f t="shared" si="24"/>
      </c>
      <c r="BM26" s="178">
        <f t="shared" si="25"/>
      </c>
      <c r="BN26" s="182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</row>
    <row r="27" spans="1:174" s="181" customFormat="1" ht="34.5" customHeight="1">
      <c r="A27" s="212">
        <v>24</v>
      </c>
      <c r="B27" s="99">
        <f>IF(ISNA(MATCH(CONCATENATE(B$2,$A27),'Výsledková listina'!$Q:$Q,0)),"",INDEX('Výsledková listina'!$B:$B,MATCH(CONCATENATE(B$2,$A27),'Výsledková listina'!$Q:$Q,0),1))</f>
      </c>
      <c r="C27" s="176"/>
      <c r="D27" s="177">
        <f t="shared" si="0"/>
      </c>
      <c r="E27" s="178">
        <f t="shared" si="1"/>
      </c>
      <c r="F27" s="182"/>
      <c r="G27" s="99">
        <f>IF(ISNA(MATCH(CONCATENATE(G$2,$A27),'Výsledková listina'!$Q:$Q,0)),"",INDEX('Výsledková listina'!$B:$B,MATCH(CONCATENATE(G$2,$A27),'Výsledková listina'!$Q:$Q,0),1))</f>
      </c>
      <c r="H27" s="176"/>
      <c r="I27" s="177">
        <f t="shared" si="2"/>
      </c>
      <c r="J27" s="178">
        <f t="shared" si="3"/>
      </c>
      <c r="K27" s="182"/>
      <c r="L27" s="99">
        <f>IF(ISNA(MATCH(CONCATENATE(L$2,$A27),'Výsledková listina'!$Q:$Q,0)),"",INDEX('Výsledková listina'!$B:$B,MATCH(CONCATENATE(L$2,$A27),'Výsledková listina'!$Q:$Q,0),1))</f>
      </c>
      <c r="M27" s="176"/>
      <c r="N27" s="177">
        <f t="shared" si="4"/>
      </c>
      <c r="O27" s="178">
        <f t="shared" si="5"/>
      </c>
      <c r="P27" s="182"/>
      <c r="Q27" s="99">
        <f>IF(ISNA(MATCH(CONCATENATE(Q$2,$A27),'Výsledková listina'!$Q:$Q,0)),"",INDEX('Výsledková listina'!$B:$B,MATCH(CONCATENATE(Q$2,$A27),'Výsledková listina'!$Q:$Q,0),1))</f>
      </c>
      <c r="R27" s="176"/>
      <c r="S27" s="177">
        <f t="shared" si="6"/>
      </c>
      <c r="T27" s="178">
        <f t="shared" si="7"/>
      </c>
      <c r="U27" s="182"/>
      <c r="V27" s="99">
        <f>IF(ISNA(MATCH(CONCATENATE(V$2,$A27),'Výsledková listina'!$Q:$Q,0)),"",INDEX('Výsledková listina'!$B:$B,MATCH(CONCATENATE(V$2,$A27),'Výsledková listina'!$Q:$Q,0),1))</f>
      </c>
      <c r="W27" s="176"/>
      <c r="X27" s="177">
        <f t="shared" si="8"/>
      </c>
      <c r="Y27" s="178">
        <f t="shared" si="9"/>
      </c>
      <c r="Z27" s="182"/>
      <c r="AA27" s="99">
        <f>IF(ISNA(MATCH(CONCATENATE(AA$2,$A27),'Výsledková listina'!$Q:$Q,0)),"",INDEX('Výsledková listina'!$B:$B,MATCH(CONCATENATE(AA$2,$A27),'Výsledková listina'!$Q:$Q,0),1))</f>
      </c>
      <c r="AB27" s="176"/>
      <c r="AC27" s="177">
        <f t="shared" si="10"/>
      </c>
      <c r="AD27" s="178">
        <f t="shared" si="11"/>
      </c>
      <c r="AE27" s="182"/>
      <c r="AF27" s="99">
        <f>IF(ISNA(MATCH(CONCATENATE(AF$2,$A27),'Výsledková listina'!$Q:$Q,0)),"",INDEX('Výsledková listina'!$B:$B,MATCH(CONCATENATE(AF$2,$A27),'Výsledková listina'!$Q:$Q,0),1))</f>
      </c>
      <c r="AG27" s="176"/>
      <c r="AH27" s="177">
        <f t="shared" si="12"/>
      </c>
      <c r="AI27" s="178">
        <f t="shared" si="13"/>
      </c>
      <c r="AJ27" s="182"/>
      <c r="AK27" s="99">
        <f>IF(ISNA(MATCH(CONCATENATE(AK$2,$A27),'Výsledková listina'!$Q:$Q,0)),"",INDEX('Výsledková listina'!$B:$B,MATCH(CONCATENATE(AK$2,$A27),'Výsledková listina'!$Q:$Q,0),1))</f>
      </c>
      <c r="AL27" s="176"/>
      <c r="AM27" s="177">
        <f t="shared" si="14"/>
      </c>
      <c r="AN27" s="178">
        <f t="shared" si="15"/>
      </c>
      <c r="AO27" s="182"/>
      <c r="AP27" s="99">
        <f>IF(ISNA(MATCH(CONCATENATE(AP$2,$A27),'Výsledková listina'!$Q:$Q,0)),"",INDEX('Výsledková listina'!$B:$B,MATCH(CONCATENATE(AP$2,$A27),'Výsledková listina'!$Q:$Q,0),1))</f>
      </c>
      <c r="AQ27" s="176"/>
      <c r="AR27" s="177">
        <f t="shared" si="16"/>
      </c>
      <c r="AS27" s="178">
        <f t="shared" si="17"/>
      </c>
      <c r="AT27" s="182"/>
      <c r="AU27" s="99">
        <f>IF(ISNA(MATCH(CONCATENATE(AU$2,$A27),'Výsledková listina'!$Q:$Q,0)),"",INDEX('Výsledková listina'!$B:$B,MATCH(CONCATENATE(AU$2,$A27),'Výsledková listina'!$Q:$Q,0),1))</f>
      </c>
      <c r="AV27" s="176"/>
      <c r="AW27" s="177">
        <f t="shared" si="18"/>
      </c>
      <c r="AX27" s="178">
        <f t="shared" si="19"/>
      </c>
      <c r="AY27" s="182"/>
      <c r="AZ27" s="99">
        <f>IF(ISNA(MATCH(CONCATENATE(AZ$2,$A27),'Výsledková listina'!$Q:$Q,0)),"",INDEX('Výsledková listina'!$B:$B,MATCH(CONCATENATE(AZ$2,$A27),'Výsledková listina'!$Q:$Q,0),1))</f>
      </c>
      <c r="BA27" s="176"/>
      <c r="BB27" s="177">
        <f t="shared" si="20"/>
      </c>
      <c r="BC27" s="178">
        <f t="shared" si="21"/>
      </c>
      <c r="BD27" s="182"/>
      <c r="BE27" s="99">
        <f>IF(ISNA(MATCH(CONCATENATE(BE$2,$A27),'Výsledková listina'!$Q:$Q,0)),"",INDEX('Výsledková listina'!$B:$B,MATCH(CONCATENATE(BE$2,$A27),'Výsledková listina'!$Q:$Q,0),1))</f>
      </c>
      <c r="BF27" s="176"/>
      <c r="BG27" s="177">
        <f t="shared" si="22"/>
      </c>
      <c r="BH27" s="178">
        <f t="shared" si="23"/>
      </c>
      <c r="BI27" s="182"/>
      <c r="BJ27" s="99">
        <f>IF(ISNA(MATCH(CONCATENATE(BJ$2,$A27),'Výsledková listina'!$Q:$Q,0)),"",INDEX('Výsledková listina'!$B:$B,MATCH(CONCATENATE(BJ$2,$A27),'Výsledková listina'!$Q:$Q,0),1))</f>
      </c>
      <c r="BK27" s="176"/>
      <c r="BL27" s="177">
        <f t="shared" si="24"/>
      </c>
      <c r="BM27" s="178">
        <f t="shared" si="25"/>
      </c>
      <c r="BN27" s="182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</row>
    <row r="28" spans="1:174" s="181" customFormat="1" ht="34.5" customHeight="1" thickBot="1">
      <c r="A28" s="213">
        <v>25</v>
      </c>
      <c r="B28" s="100">
        <f>IF(ISNA(MATCH(CONCATENATE(B$2,$A28),'Výsledková listina'!$Q:$Q,0)),"",INDEX('Výsledková listina'!$B:$B,MATCH(CONCATENATE(B$2,$A28),'Výsledková listina'!$Q:$Q,0),1))</f>
      </c>
      <c r="C28" s="184"/>
      <c r="D28" s="185">
        <f t="shared" si="0"/>
      </c>
      <c r="E28" s="186">
        <f t="shared" si="1"/>
      </c>
      <c r="F28" s="187"/>
      <c r="G28" s="100">
        <f>IF(ISNA(MATCH(CONCATENATE(G$2,$A28),'Výsledková listina'!$Q:$Q,0)),"",INDEX('Výsledková listina'!$B:$B,MATCH(CONCATENATE(G$2,$A28),'Výsledková listina'!$Q:$Q,0),1))</f>
      </c>
      <c r="H28" s="184"/>
      <c r="I28" s="185">
        <f t="shared" si="2"/>
      </c>
      <c r="J28" s="186">
        <f t="shared" si="3"/>
      </c>
      <c r="K28" s="187"/>
      <c r="L28" s="100">
        <f>IF(ISNA(MATCH(CONCATENATE(L$2,$A28),'Výsledková listina'!$Q:$Q,0)),"",INDEX('Výsledková listina'!$B:$B,MATCH(CONCATENATE(L$2,$A28),'Výsledková listina'!$Q:$Q,0),1))</f>
      </c>
      <c r="M28" s="184"/>
      <c r="N28" s="185">
        <f t="shared" si="4"/>
      </c>
      <c r="O28" s="186">
        <f t="shared" si="5"/>
      </c>
      <c r="P28" s="187"/>
      <c r="Q28" s="100">
        <f>IF(ISNA(MATCH(CONCATENATE(Q$2,$A28),'Výsledková listina'!$Q:$Q,0)),"",INDEX('Výsledková listina'!$B:$B,MATCH(CONCATENATE(Q$2,$A28),'Výsledková listina'!$Q:$Q,0),1))</f>
      </c>
      <c r="R28" s="184"/>
      <c r="S28" s="185">
        <f t="shared" si="6"/>
      </c>
      <c r="T28" s="186">
        <f t="shared" si="7"/>
      </c>
      <c r="U28" s="187"/>
      <c r="V28" s="100">
        <f>IF(ISNA(MATCH(CONCATENATE(V$2,$A28),'Výsledková listina'!$Q:$Q,0)),"",INDEX('Výsledková listina'!$B:$B,MATCH(CONCATENATE(V$2,$A28),'Výsledková listina'!$Q:$Q,0),1))</f>
      </c>
      <c r="W28" s="184"/>
      <c r="X28" s="185">
        <f t="shared" si="8"/>
      </c>
      <c r="Y28" s="186">
        <f t="shared" si="9"/>
      </c>
      <c r="Z28" s="187"/>
      <c r="AA28" s="100">
        <f>IF(ISNA(MATCH(CONCATENATE(AA$2,$A28),'Výsledková listina'!$Q:$Q,0)),"",INDEX('Výsledková listina'!$B:$B,MATCH(CONCATENATE(AA$2,$A28),'Výsledková listina'!$Q:$Q,0),1))</f>
      </c>
      <c r="AB28" s="184"/>
      <c r="AC28" s="185">
        <f t="shared" si="10"/>
      </c>
      <c r="AD28" s="186">
        <f t="shared" si="11"/>
      </c>
      <c r="AE28" s="187"/>
      <c r="AF28" s="100">
        <f>IF(ISNA(MATCH(CONCATENATE(AF$2,$A28),'Výsledková listina'!$Q:$Q,0)),"",INDEX('Výsledková listina'!$B:$B,MATCH(CONCATENATE(AF$2,$A28),'Výsledková listina'!$Q:$Q,0),1))</f>
      </c>
      <c r="AG28" s="184"/>
      <c r="AH28" s="185">
        <f t="shared" si="12"/>
      </c>
      <c r="AI28" s="186">
        <f t="shared" si="13"/>
      </c>
      <c r="AJ28" s="187"/>
      <c r="AK28" s="100">
        <f>IF(ISNA(MATCH(CONCATENATE(AK$2,$A28),'Výsledková listina'!$Q:$Q,0)),"",INDEX('Výsledková listina'!$B:$B,MATCH(CONCATENATE(AK$2,$A28),'Výsledková listina'!$Q:$Q,0),1))</f>
      </c>
      <c r="AL28" s="184"/>
      <c r="AM28" s="185">
        <f t="shared" si="14"/>
      </c>
      <c r="AN28" s="186">
        <f t="shared" si="15"/>
      </c>
      <c r="AO28" s="187"/>
      <c r="AP28" s="100">
        <f>IF(ISNA(MATCH(CONCATENATE(AP$2,$A28),'Výsledková listina'!$Q:$Q,0)),"",INDEX('Výsledková listina'!$B:$B,MATCH(CONCATENATE(AP$2,$A28),'Výsledková listina'!$Q:$Q,0),1))</f>
      </c>
      <c r="AQ28" s="184"/>
      <c r="AR28" s="185">
        <f t="shared" si="16"/>
      </c>
      <c r="AS28" s="186">
        <f t="shared" si="17"/>
      </c>
      <c r="AT28" s="187"/>
      <c r="AU28" s="100">
        <f>IF(ISNA(MATCH(CONCATENATE(AU$2,$A28),'Výsledková listina'!$Q:$Q,0)),"",INDEX('Výsledková listina'!$B:$B,MATCH(CONCATENATE(AU$2,$A28),'Výsledková listina'!$Q:$Q,0),1))</f>
      </c>
      <c r="AV28" s="184"/>
      <c r="AW28" s="185">
        <f t="shared" si="18"/>
      </c>
      <c r="AX28" s="186">
        <f t="shared" si="19"/>
      </c>
      <c r="AY28" s="187"/>
      <c r="AZ28" s="100">
        <f>IF(ISNA(MATCH(CONCATENATE(AZ$2,$A28),'Výsledková listina'!$Q:$Q,0)),"",INDEX('Výsledková listina'!$B:$B,MATCH(CONCATENATE(AZ$2,$A28),'Výsledková listina'!$Q:$Q,0),1))</f>
      </c>
      <c r="BA28" s="184"/>
      <c r="BB28" s="185">
        <f t="shared" si="20"/>
      </c>
      <c r="BC28" s="186">
        <f t="shared" si="21"/>
      </c>
      <c r="BD28" s="187"/>
      <c r="BE28" s="100">
        <f>IF(ISNA(MATCH(CONCATENATE(BE$2,$A28),'Výsledková listina'!$Q:$Q,0)),"",INDEX('Výsledková listina'!$B:$B,MATCH(CONCATENATE(BE$2,$A28),'Výsledková listina'!$Q:$Q,0),1))</f>
      </c>
      <c r="BF28" s="184"/>
      <c r="BG28" s="185">
        <f t="shared" si="22"/>
      </c>
      <c r="BH28" s="186">
        <f t="shared" si="23"/>
      </c>
      <c r="BI28" s="187"/>
      <c r="BJ28" s="100">
        <f>IF(ISNA(MATCH(CONCATENATE(BJ$2,$A28),'Výsledková listina'!$Q:$Q,0)),"",INDEX('Výsledková listina'!$B:$B,MATCH(CONCATENATE(BJ$2,$A28),'Výsledková listina'!$Q:$Q,0),1))</f>
      </c>
      <c r="BK28" s="184"/>
      <c r="BL28" s="185">
        <f t="shared" si="24"/>
      </c>
      <c r="BM28" s="186">
        <f t="shared" si="25"/>
      </c>
      <c r="BN28" s="187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</row>
    <row r="30" spans="2:62" ht="15.75">
      <c r="B30" s="7"/>
      <c r="G30" s="7"/>
      <c r="L30" s="7"/>
      <c r="Q30" s="7"/>
      <c r="V30" s="7"/>
      <c r="AA30" s="7"/>
      <c r="AF30" s="7"/>
      <c r="AK30" s="7"/>
      <c r="AP30" s="7"/>
      <c r="AU30" s="7"/>
      <c r="AZ30" s="7"/>
      <c r="BE30" s="7"/>
      <c r="BJ30" s="7"/>
    </row>
    <row r="31" ht="15.75">
      <c r="B31" s="7"/>
    </row>
  </sheetData>
  <sheetProtection/>
  <mergeCells count="27">
    <mergeCell ref="A1:A3"/>
    <mergeCell ref="B1:F1"/>
    <mergeCell ref="B2:F2"/>
    <mergeCell ref="V1:Z1"/>
    <mergeCell ref="AA1:AE1"/>
    <mergeCell ref="G2:K2"/>
    <mergeCell ref="Q2:U2"/>
    <mergeCell ref="V2:Z2"/>
    <mergeCell ref="L2:P2"/>
    <mergeCell ref="G1:K1"/>
    <mergeCell ref="AA2:AE2"/>
    <mergeCell ref="L1:P1"/>
    <mergeCell ref="Q1:U1"/>
    <mergeCell ref="AF1:AJ1"/>
    <mergeCell ref="BE1:BI1"/>
    <mergeCell ref="BJ1:BN1"/>
    <mergeCell ref="BE2:BI2"/>
    <mergeCell ref="BJ2:BN2"/>
    <mergeCell ref="AU1:AY1"/>
    <mergeCell ref="AZ1:BD1"/>
    <mergeCell ref="AZ2:BD2"/>
    <mergeCell ref="AK1:AO1"/>
    <mergeCell ref="AP1:AT1"/>
    <mergeCell ref="AU2:AY2"/>
    <mergeCell ref="AF2:AJ2"/>
    <mergeCell ref="AK2:AO2"/>
    <mergeCell ref="AP2:AT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7" manualBreakCount="7">
    <brk id="21" max="65535" man="1"/>
    <brk id="26" max="18" man="1"/>
    <brk id="31" max="65535" man="1"/>
    <brk id="36" max="18" man="1"/>
    <brk id="41" max="18" man="1"/>
    <brk id="46" max="17" man="1"/>
    <brk id="51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80" zoomScaleNormal="50" zoomScaleSheetLayoutView="8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" sqref="B5"/>
    </sheetView>
  </sheetViews>
  <sheetFormatPr defaultColWidth="5.25390625" defaultRowHeight="12.75" outlineLevelCol="1"/>
  <cols>
    <col min="1" max="1" width="6.625" style="191" customWidth="1"/>
    <col min="2" max="2" width="37.00390625" style="210" customWidth="1"/>
    <col min="3" max="3" width="15.375" style="188" customWidth="1"/>
    <col min="4" max="4" width="4.00390625" style="189" hidden="1" customWidth="1"/>
    <col min="5" max="5" width="8.00390625" style="191" customWidth="1"/>
    <col min="6" max="6" width="22.00390625" style="191" customWidth="1"/>
    <col min="7" max="7" width="37.00390625" style="210" customWidth="1"/>
    <col min="8" max="8" width="15.375" style="188" customWidth="1"/>
    <col min="9" max="9" width="4.00390625" style="189" hidden="1" customWidth="1"/>
    <col min="10" max="10" width="8.00390625" style="191" customWidth="1"/>
    <col min="11" max="11" width="22.00390625" style="191" customWidth="1"/>
    <col min="12" max="12" width="37.00390625" style="210" customWidth="1"/>
    <col min="13" max="13" width="15.375" style="188" customWidth="1"/>
    <col min="14" max="14" width="4.00390625" style="189" hidden="1" customWidth="1"/>
    <col min="15" max="15" width="8.00390625" style="191" customWidth="1"/>
    <col min="16" max="16" width="22.00390625" style="191" customWidth="1"/>
    <col min="17" max="17" width="37.00390625" style="210" customWidth="1"/>
    <col min="18" max="18" width="15.375" style="188" customWidth="1"/>
    <col min="19" max="19" width="4.00390625" style="189" hidden="1" customWidth="1"/>
    <col min="20" max="20" width="8.00390625" style="191" customWidth="1"/>
    <col min="21" max="21" width="22.00390625" style="191" customWidth="1"/>
    <col min="22" max="22" width="37.00390625" style="210" customWidth="1"/>
    <col min="23" max="23" width="15.375" style="188" customWidth="1"/>
    <col min="24" max="24" width="4.00390625" style="189" hidden="1" customWidth="1"/>
    <col min="25" max="25" width="8.00390625" style="191" customWidth="1"/>
    <col min="26" max="26" width="22.00390625" style="191" customWidth="1"/>
    <col min="27" max="27" width="37.00390625" style="210" customWidth="1"/>
    <col min="28" max="28" width="15.375" style="188" customWidth="1"/>
    <col min="29" max="29" width="4.00390625" style="189" hidden="1" customWidth="1"/>
    <col min="30" max="30" width="8.00390625" style="191" customWidth="1"/>
    <col min="31" max="31" width="22.00390625" style="191" customWidth="1"/>
    <col min="32" max="32" width="37.00390625" style="210" customWidth="1" outlineLevel="1"/>
    <col min="33" max="33" width="15.375" style="188" customWidth="1" outlineLevel="1"/>
    <col min="34" max="34" width="4.00390625" style="189" hidden="1" customWidth="1" outlineLevel="1"/>
    <col min="35" max="35" width="8.00390625" style="191" customWidth="1" outlineLevel="1"/>
    <col min="36" max="36" width="22.00390625" style="191" customWidth="1" outlineLevel="1"/>
    <col min="37" max="37" width="37.00390625" style="210" customWidth="1" outlineLevel="1"/>
    <col min="38" max="38" width="15.375" style="188" customWidth="1" outlineLevel="1"/>
    <col min="39" max="39" width="4.00390625" style="189" hidden="1" customWidth="1" outlineLevel="1"/>
    <col min="40" max="40" width="8.00390625" style="191" customWidth="1" outlineLevel="1"/>
    <col min="41" max="41" width="22.00390625" style="191" customWidth="1" outlineLevel="1"/>
    <col min="42" max="42" width="37.00390625" style="210" customWidth="1" outlineLevel="1"/>
    <col min="43" max="43" width="15.375" style="188" customWidth="1" outlineLevel="1"/>
    <col min="44" max="44" width="4.00390625" style="189" hidden="1" customWidth="1" outlineLevel="1"/>
    <col min="45" max="45" width="8.00390625" style="191" customWidth="1" outlineLevel="1"/>
    <col min="46" max="46" width="22.00390625" style="191" customWidth="1" outlineLevel="1"/>
    <col min="47" max="47" width="37.00390625" style="210" customWidth="1" outlineLevel="1"/>
    <col min="48" max="48" width="15.375" style="188" customWidth="1" outlineLevel="1"/>
    <col min="49" max="49" width="4.00390625" style="189" hidden="1" customWidth="1" outlineLevel="1"/>
    <col min="50" max="50" width="8.00390625" style="191" customWidth="1" outlineLevel="1"/>
    <col min="51" max="51" width="22.00390625" style="191" customWidth="1" outlineLevel="1"/>
    <col min="52" max="52" width="37.00390625" style="210" customWidth="1" outlineLevel="1"/>
    <col min="53" max="53" width="15.375" style="188" customWidth="1" outlineLevel="1"/>
    <col min="54" max="54" width="4.00390625" style="189" hidden="1" customWidth="1" outlineLevel="1"/>
    <col min="55" max="55" width="8.00390625" style="191" customWidth="1" outlineLevel="1"/>
    <col min="56" max="56" width="22.00390625" style="191" customWidth="1" outlineLevel="1"/>
    <col min="57" max="57" width="37.00390625" style="210" customWidth="1" outlineLevel="1"/>
    <col min="58" max="58" width="15.375" style="188" customWidth="1" outlineLevel="1"/>
    <col min="59" max="59" width="4.00390625" style="189" hidden="1" customWidth="1" outlineLevel="1"/>
    <col min="60" max="60" width="8.00390625" style="191" customWidth="1" outlineLevel="1"/>
    <col min="61" max="61" width="22.00390625" style="191" customWidth="1" outlineLevel="1"/>
    <col min="62" max="62" width="37.00390625" style="210" customWidth="1" outlineLevel="1"/>
    <col min="63" max="63" width="15.375" style="188" customWidth="1" outlineLevel="1"/>
    <col min="64" max="64" width="4.00390625" style="189" hidden="1" customWidth="1" outlineLevel="1"/>
    <col min="65" max="65" width="8.00390625" style="191" customWidth="1" outlineLevel="1"/>
    <col min="66" max="66" width="22.00390625" style="191" customWidth="1" outlineLevel="1"/>
    <col min="67" max="137" width="5.25390625" style="188" customWidth="1"/>
    <col min="138" max="16384" width="5.25390625" style="189" customWidth="1"/>
  </cols>
  <sheetData>
    <row r="1" spans="1:66" ht="16.5" customHeight="1">
      <c r="A1" s="409" t="s">
        <v>13</v>
      </c>
      <c r="B1" s="403" t="s">
        <v>29</v>
      </c>
      <c r="C1" s="404"/>
      <c r="D1" s="404"/>
      <c r="E1" s="404"/>
      <c r="F1" s="405"/>
      <c r="G1" s="403" t="s">
        <v>29</v>
      </c>
      <c r="H1" s="404"/>
      <c r="I1" s="404"/>
      <c r="J1" s="404"/>
      <c r="K1" s="405"/>
      <c r="L1" s="403" t="s">
        <v>29</v>
      </c>
      <c r="M1" s="404"/>
      <c r="N1" s="404"/>
      <c r="O1" s="404"/>
      <c r="P1" s="405"/>
      <c r="Q1" s="403" t="s">
        <v>29</v>
      </c>
      <c r="R1" s="404"/>
      <c r="S1" s="404"/>
      <c r="T1" s="404"/>
      <c r="U1" s="405"/>
      <c r="V1" s="403" t="s">
        <v>29</v>
      </c>
      <c r="W1" s="404"/>
      <c r="X1" s="404"/>
      <c r="Y1" s="404"/>
      <c r="Z1" s="405"/>
      <c r="AA1" s="403" t="s">
        <v>29</v>
      </c>
      <c r="AB1" s="404"/>
      <c r="AC1" s="404"/>
      <c r="AD1" s="404"/>
      <c r="AE1" s="405"/>
      <c r="AF1" s="403" t="s">
        <v>29</v>
      </c>
      <c r="AG1" s="404"/>
      <c r="AH1" s="404"/>
      <c r="AI1" s="404"/>
      <c r="AJ1" s="405"/>
      <c r="AK1" s="403" t="s">
        <v>29</v>
      </c>
      <c r="AL1" s="404"/>
      <c r="AM1" s="404"/>
      <c r="AN1" s="404"/>
      <c r="AO1" s="405"/>
      <c r="AP1" s="403" t="s">
        <v>29</v>
      </c>
      <c r="AQ1" s="404"/>
      <c r="AR1" s="404"/>
      <c r="AS1" s="404"/>
      <c r="AT1" s="405"/>
      <c r="AU1" s="403" t="s">
        <v>29</v>
      </c>
      <c r="AV1" s="404"/>
      <c r="AW1" s="404"/>
      <c r="AX1" s="404"/>
      <c r="AY1" s="405"/>
      <c r="AZ1" s="403" t="s">
        <v>29</v>
      </c>
      <c r="BA1" s="404"/>
      <c r="BB1" s="404"/>
      <c r="BC1" s="404"/>
      <c r="BD1" s="405"/>
      <c r="BE1" s="403" t="s">
        <v>29</v>
      </c>
      <c r="BF1" s="404"/>
      <c r="BG1" s="404"/>
      <c r="BH1" s="404"/>
      <c r="BI1" s="405"/>
      <c r="BJ1" s="403" t="s">
        <v>29</v>
      </c>
      <c r="BK1" s="404"/>
      <c r="BL1" s="404"/>
      <c r="BM1" s="404"/>
      <c r="BN1" s="405"/>
    </row>
    <row r="2" spans="1:137" s="191" customFormat="1" ht="16.5" customHeight="1" thickBot="1">
      <c r="A2" s="410"/>
      <c r="B2" s="406" t="str">
        <f>'1. závod'!B2:E2</f>
        <v>A</v>
      </c>
      <c r="C2" s="407"/>
      <c r="D2" s="407"/>
      <c r="E2" s="407"/>
      <c r="F2" s="408"/>
      <c r="G2" s="406" t="str">
        <f>IF(ISBLANK('Základní list'!$A12),"",'Základní list'!$A12)</f>
        <v>B</v>
      </c>
      <c r="H2" s="407"/>
      <c r="I2" s="407"/>
      <c r="J2" s="407"/>
      <c r="K2" s="408"/>
      <c r="L2" s="406" t="str">
        <f>IF(ISBLANK('Základní list'!$A13),"",'Základní list'!$A13)</f>
        <v>C</v>
      </c>
      <c r="M2" s="407"/>
      <c r="N2" s="407"/>
      <c r="O2" s="407"/>
      <c r="P2" s="408"/>
      <c r="Q2" s="406" t="str">
        <f>IF(ISBLANK('Základní list'!$A14),"",'Základní list'!$A14)</f>
        <v>D</v>
      </c>
      <c r="R2" s="407"/>
      <c r="S2" s="407"/>
      <c r="T2" s="407"/>
      <c r="U2" s="408"/>
      <c r="V2" s="406" t="str">
        <f>IF(ISBLANK('Základní list'!$A15),"",'Základní list'!$A15)</f>
        <v>E</v>
      </c>
      <c r="W2" s="407"/>
      <c r="X2" s="407"/>
      <c r="Y2" s="407"/>
      <c r="Z2" s="408"/>
      <c r="AA2" s="406" t="str">
        <f>IF(ISBLANK('Základní list'!$A16),"",'Základní list'!$A16)</f>
        <v>F</v>
      </c>
      <c r="AB2" s="407"/>
      <c r="AC2" s="407"/>
      <c r="AD2" s="407"/>
      <c r="AE2" s="408"/>
      <c r="AF2" s="406" t="str">
        <f>IF(ISBLANK('Základní list'!$A17),"",'Základní list'!$A17)</f>
        <v>G</v>
      </c>
      <c r="AG2" s="407"/>
      <c r="AH2" s="407"/>
      <c r="AI2" s="407"/>
      <c r="AJ2" s="408"/>
      <c r="AK2" s="406" t="str">
        <f>IF(ISBLANK('Základní list'!$A18),"",'Základní list'!$A18)</f>
        <v>H</v>
      </c>
      <c r="AL2" s="407"/>
      <c r="AM2" s="407"/>
      <c r="AN2" s="407"/>
      <c r="AO2" s="408"/>
      <c r="AP2" s="406" t="str">
        <f>IF(ISBLANK('Základní list'!$A19),"",'Základní list'!$A19)</f>
        <v>I</v>
      </c>
      <c r="AQ2" s="407"/>
      <c r="AR2" s="407"/>
      <c r="AS2" s="407"/>
      <c r="AT2" s="408"/>
      <c r="AU2" s="406" t="str">
        <f>IF(ISBLANK('Základní list'!$A20),"",'Základní list'!$A20)</f>
        <v>J</v>
      </c>
      <c r="AV2" s="407"/>
      <c r="AW2" s="407"/>
      <c r="AX2" s="407"/>
      <c r="AY2" s="408"/>
      <c r="AZ2" s="406" t="str">
        <f>IF(ISBLANK('Základní list'!$A21),"",'Základní list'!$A21)</f>
        <v>K</v>
      </c>
      <c r="BA2" s="407"/>
      <c r="BB2" s="407"/>
      <c r="BC2" s="407"/>
      <c r="BD2" s="408"/>
      <c r="BE2" s="406" t="str">
        <f>IF(ISBLANK('Základní list'!$A22),"",'Základní list'!$A22)</f>
        <v>L</v>
      </c>
      <c r="BF2" s="407"/>
      <c r="BG2" s="407"/>
      <c r="BH2" s="407"/>
      <c r="BI2" s="408"/>
      <c r="BJ2" s="406" t="str">
        <f>IF(ISBLANK('Základní list'!$A23),"",'Základní list'!$A23)</f>
        <v>M</v>
      </c>
      <c r="BK2" s="407"/>
      <c r="BL2" s="407"/>
      <c r="BM2" s="407"/>
      <c r="BN2" s="408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</row>
    <row r="3" spans="1:137" s="195" customFormat="1" ht="25.5" customHeight="1" thickBot="1">
      <c r="A3" s="411"/>
      <c r="B3" s="1" t="s">
        <v>14</v>
      </c>
      <c r="C3" s="2" t="s">
        <v>15</v>
      </c>
      <c r="D3" s="192" t="s">
        <v>28</v>
      </c>
      <c r="E3" s="18" t="s">
        <v>16</v>
      </c>
      <c r="F3" s="193" t="s">
        <v>54</v>
      </c>
      <c r="G3" s="1" t="s">
        <v>14</v>
      </c>
      <c r="H3" s="2" t="s">
        <v>15</v>
      </c>
      <c r="I3" s="192" t="s">
        <v>28</v>
      </c>
      <c r="J3" s="18" t="s">
        <v>16</v>
      </c>
      <c r="K3" s="193" t="s">
        <v>54</v>
      </c>
      <c r="L3" s="1" t="s">
        <v>14</v>
      </c>
      <c r="M3" s="2" t="s">
        <v>15</v>
      </c>
      <c r="N3" s="192" t="s">
        <v>28</v>
      </c>
      <c r="O3" s="18" t="s">
        <v>16</v>
      </c>
      <c r="P3" s="193" t="s">
        <v>54</v>
      </c>
      <c r="Q3" s="1" t="s">
        <v>14</v>
      </c>
      <c r="R3" s="2" t="s">
        <v>15</v>
      </c>
      <c r="S3" s="192" t="s">
        <v>28</v>
      </c>
      <c r="T3" s="18" t="s">
        <v>16</v>
      </c>
      <c r="U3" s="193" t="s">
        <v>54</v>
      </c>
      <c r="V3" s="1" t="s">
        <v>14</v>
      </c>
      <c r="W3" s="2" t="s">
        <v>15</v>
      </c>
      <c r="X3" s="192" t="s">
        <v>28</v>
      </c>
      <c r="Y3" s="18" t="s">
        <v>16</v>
      </c>
      <c r="Z3" s="193" t="s">
        <v>54</v>
      </c>
      <c r="AA3" s="1" t="s">
        <v>14</v>
      </c>
      <c r="AB3" s="2" t="s">
        <v>15</v>
      </c>
      <c r="AC3" s="192" t="s">
        <v>28</v>
      </c>
      <c r="AD3" s="18" t="s">
        <v>16</v>
      </c>
      <c r="AE3" s="193" t="s">
        <v>54</v>
      </c>
      <c r="AF3" s="1" t="s">
        <v>14</v>
      </c>
      <c r="AG3" s="2" t="s">
        <v>15</v>
      </c>
      <c r="AH3" s="192" t="s">
        <v>28</v>
      </c>
      <c r="AI3" s="18" t="s">
        <v>16</v>
      </c>
      <c r="AJ3" s="193" t="s">
        <v>54</v>
      </c>
      <c r="AK3" s="1" t="s">
        <v>14</v>
      </c>
      <c r="AL3" s="2" t="s">
        <v>15</v>
      </c>
      <c r="AM3" s="192" t="s">
        <v>28</v>
      </c>
      <c r="AN3" s="18" t="s">
        <v>16</v>
      </c>
      <c r="AO3" s="193" t="s">
        <v>54</v>
      </c>
      <c r="AP3" s="1" t="s">
        <v>14</v>
      </c>
      <c r="AQ3" s="2" t="s">
        <v>15</v>
      </c>
      <c r="AR3" s="192" t="s">
        <v>28</v>
      </c>
      <c r="AS3" s="18" t="s">
        <v>16</v>
      </c>
      <c r="AT3" s="193" t="s">
        <v>54</v>
      </c>
      <c r="AU3" s="1" t="s">
        <v>14</v>
      </c>
      <c r="AV3" s="2" t="s">
        <v>15</v>
      </c>
      <c r="AW3" s="192" t="s">
        <v>28</v>
      </c>
      <c r="AX3" s="18" t="s">
        <v>16</v>
      </c>
      <c r="AY3" s="193" t="s">
        <v>54</v>
      </c>
      <c r="AZ3" s="1" t="s">
        <v>14</v>
      </c>
      <c r="BA3" s="2" t="s">
        <v>15</v>
      </c>
      <c r="BB3" s="192" t="s">
        <v>28</v>
      </c>
      <c r="BC3" s="18" t="s">
        <v>16</v>
      </c>
      <c r="BD3" s="193" t="s">
        <v>54</v>
      </c>
      <c r="BE3" s="1" t="s">
        <v>14</v>
      </c>
      <c r="BF3" s="2" t="s">
        <v>15</v>
      </c>
      <c r="BG3" s="192" t="s">
        <v>28</v>
      </c>
      <c r="BH3" s="18" t="s">
        <v>16</v>
      </c>
      <c r="BI3" s="193" t="s">
        <v>54</v>
      </c>
      <c r="BJ3" s="1" t="s">
        <v>14</v>
      </c>
      <c r="BK3" s="2" t="s">
        <v>15</v>
      </c>
      <c r="BL3" s="192" t="s">
        <v>28</v>
      </c>
      <c r="BM3" s="18" t="s">
        <v>16</v>
      </c>
      <c r="BN3" s="193" t="s">
        <v>54</v>
      </c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</row>
    <row r="4" spans="1:137" s="202" customFormat="1" ht="34.5" customHeight="1">
      <c r="A4" s="196">
        <v>1</v>
      </c>
      <c r="B4" s="197" t="str">
        <f>IF(ISNA(MATCH(CONCATENATE(B$2,$A4),'Výsledková listina'!$R:$R,0)),"",INDEX('Výsledková listina'!$B:$B,MATCH(CONCATENATE(B$2,$A4),'Výsledková listina'!$R:$R,0),1))</f>
        <v>Křivánek Miroslav</v>
      </c>
      <c r="C4" s="176">
        <v>11760</v>
      </c>
      <c r="D4" s="198">
        <f aca="true" t="shared" si="0" ref="D4:D27">IF(C4="","",RANK(C4,C$1:C$65536,0))</f>
        <v>5</v>
      </c>
      <c r="E4" s="199">
        <f aca="true" t="shared" si="1" ref="E4:E27">IF(C4="","",((RANK(C4,C$1:C$65536,0))+(FREQUENCY(D$1:D$65536,D4)))/2)</f>
        <v>5</v>
      </c>
      <c r="F4" s="200"/>
      <c r="G4" s="197" t="str">
        <f>IF(ISNA(MATCH(CONCATENATE(G$2,$A4),'Výsledková listina'!$R:$R,0)),"",INDEX('Výsledková listina'!$B:$B,MATCH(CONCATENATE(G$2,$A4),'Výsledková listina'!$R:$R,0),1))</f>
        <v>Vojta Jan</v>
      </c>
      <c r="H4" s="176">
        <v>5290</v>
      </c>
      <c r="I4" s="198">
        <f aca="true" t="shared" si="2" ref="I4:I27">IF(H4="","",RANK(H4,H$1:H$65536,0))</f>
        <v>6</v>
      </c>
      <c r="J4" s="199">
        <f aca="true" t="shared" si="3" ref="J4:J27">IF(H4="","",((RANK(H4,H$1:H$65536,0))+(FREQUENCY(I$1:I$65536,I4)))/2)</f>
        <v>6</v>
      </c>
      <c r="K4" s="200"/>
      <c r="L4" s="197">
        <f>IF(ISNA(MATCH(CONCATENATE(L$2,$A4),'Výsledková listina'!$R:$R,0)),"",INDEX('Výsledková listina'!$B:$B,MATCH(CONCATENATE(L$2,$A4),'Výsledková listina'!$R:$R,0),1))</f>
      </c>
      <c r="M4" s="176"/>
      <c r="N4" s="198">
        <f aca="true" t="shared" si="4" ref="N4:N27">IF(M4="","",RANK(M4,M$1:M$65536,0))</f>
      </c>
      <c r="O4" s="199">
        <f aca="true" t="shared" si="5" ref="O4:O27">IF(M4="","",((RANK(M4,M$1:M$65536,0))+(FREQUENCY(N$1:N$65536,N4)))/2)</f>
      </c>
      <c r="P4" s="200"/>
      <c r="Q4" s="197" t="str">
        <f>IF(ISNA(MATCH(CONCATENATE(Q$2,$A4),'Výsledková listina'!$R:$R,0)),"",INDEX('Výsledková listina'!$B:$B,MATCH(CONCATENATE(Q$2,$A4),'Výsledková listina'!$R:$R,0),1))</f>
        <v>Novák Jan</v>
      </c>
      <c r="R4" s="176">
        <v>0</v>
      </c>
      <c r="S4" s="198">
        <f aca="true" t="shared" si="6" ref="S4:S27">IF(R4="","",RANK(R4,R$1:R$65536,0))</f>
        <v>16</v>
      </c>
      <c r="T4" s="199">
        <f aca="true" t="shared" si="7" ref="T4:T27">IF(R4="","",((RANK(R4,R$1:R$65536,0))+(FREQUENCY(S$1:S$65536,S4)))/2)</f>
        <v>16</v>
      </c>
      <c r="U4" s="200"/>
      <c r="V4" s="197" t="str">
        <f>IF(ISNA(MATCH(CONCATENATE(V$2,$A4),'Výsledková listina'!$R:$R,0)),"",INDEX('Výsledková listina'!$B:$B,MATCH(CONCATENATE(V$2,$A4),'Výsledková listina'!$R:$R,0),1))</f>
        <v>Koucký Miloslav</v>
      </c>
      <c r="W4" s="176">
        <v>1660</v>
      </c>
      <c r="X4" s="198">
        <f aca="true" t="shared" si="8" ref="X4:X27">IF(W4="","",RANK(W4,W$1:W$65536,0))</f>
        <v>12</v>
      </c>
      <c r="Y4" s="199">
        <f aca="true" t="shared" si="9" ref="Y4:Y27">IF(W4="","",((RANK(W4,W$1:W$65536,0))+(FREQUENCY(X$1:X$65536,X4)))/2)</f>
        <v>12</v>
      </c>
      <c r="Z4" s="200"/>
      <c r="AA4" s="197" t="str">
        <f>IF(ISNA(MATCH(CONCATENATE(AA$2,$A4),'Výsledková listina'!$R:$R,0)),"",INDEX('Výsledková listina'!$B:$B,MATCH(CONCATENATE(AA$2,$A4),'Výsledková listina'!$R:$R,0),1))</f>
        <v>Kabát Petr</v>
      </c>
      <c r="AB4" s="176">
        <v>16560</v>
      </c>
      <c r="AC4" s="198">
        <f aca="true" t="shared" si="10" ref="AC4:AC27">IF(AB4="","",RANK(AB4,AB$1:AB$65536,0))</f>
        <v>1</v>
      </c>
      <c r="AD4" s="199">
        <f aca="true" t="shared" si="11" ref="AD4:AD27">IF(AB4="","",((RANK(AB4,AB$1:AB$65536,0))+(FREQUENCY(AC$1:AC$65536,AC4)))/2)</f>
        <v>1</v>
      </c>
      <c r="AE4" s="200"/>
      <c r="AF4" s="197" t="str">
        <f>IF(ISNA(MATCH(CONCATENATE(AF$2,$A4),'Výsledková listina'!$R:$R,0)),"",INDEX('Výsledková listina'!$B:$B,MATCH(CONCATENATE(AF$2,$A4),'Výsledková listina'!$R:$R,0),1))</f>
        <v>Hofta Jiří</v>
      </c>
      <c r="AG4" s="176">
        <v>7270</v>
      </c>
      <c r="AH4" s="198">
        <f aca="true" t="shared" si="12" ref="AH4:AH27">IF(AG4="","",RANK(AG4,AG$1:AG$65536,0))</f>
        <v>13</v>
      </c>
      <c r="AI4" s="199">
        <f aca="true" t="shared" si="13" ref="AI4:AI27">IF(AG4="","",((RANK(AG4,AG$1:AG$65536,0))+(FREQUENCY(AH$1:AH$65536,AH4)))/2)</f>
        <v>13</v>
      </c>
      <c r="AJ4" s="200"/>
      <c r="AK4" s="197" t="str">
        <f>IF(ISNA(MATCH(CONCATENATE(AK$2,$A4),'Výsledková listina'!$R:$R,0)),"",INDEX('Výsledková listina'!$B:$B,MATCH(CONCATENATE(AK$2,$A4),'Výsledková listina'!$R:$R,0),1))</f>
        <v>Vican Roman</v>
      </c>
      <c r="AL4" s="176">
        <v>3180</v>
      </c>
      <c r="AM4" s="198">
        <f aca="true" t="shared" si="14" ref="AM4:AM27">IF(AL4="","",RANK(AL4,AL$1:AL$65536,0))</f>
        <v>12</v>
      </c>
      <c r="AN4" s="199">
        <f aca="true" t="shared" si="15" ref="AN4:AN27">IF(AL4="","",((RANK(AL4,AL$1:AL$65536,0))+(FREQUENCY(AM$1:AM$65536,AM4)))/2)</f>
        <v>12</v>
      </c>
      <c r="AO4" s="200"/>
      <c r="AP4" s="197" t="str">
        <f>IF(ISNA(MATCH(CONCATENATE(AP$2,$A4),'Výsledková listina'!$R:$R,0)),"",INDEX('Výsledková listina'!$B:$B,MATCH(CONCATENATE(AP$2,$A4),'Výsledková listina'!$R:$R,0),1))</f>
        <v>Soukup Michal</v>
      </c>
      <c r="AQ4" s="176">
        <v>8360</v>
      </c>
      <c r="AR4" s="198">
        <f aca="true" t="shared" si="16" ref="AR4:AR27">IF(AQ4="","",RANK(AQ4,AQ$1:AQ$65536,0))</f>
        <v>11</v>
      </c>
      <c r="AS4" s="199">
        <f aca="true" t="shared" si="17" ref="AS4:AS27">IF(AQ4="","",((RANK(AQ4,AQ$1:AQ$65536,0))+(FREQUENCY(AR$1:AR$65536,AR4)))/2)</f>
        <v>11</v>
      </c>
      <c r="AT4" s="200"/>
      <c r="AU4" s="197">
        <f>IF(ISNA(MATCH(CONCATENATE(AU$2,$A4),'Výsledková listina'!$R:$R,0)),"",INDEX('Výsledková listina'!$B:$B,MATCH(CONCATENATE(AU$2,$A4),'Výsledková listina'!$R:$R,0),1))</f>
      </c>
      <c r="AV4" s="176"/>
      <c r="AW4" s="198">
        <f aca="true" t="shared" si="18" ref="AW4:AW27">IF(AV4="","",RANK(AV4,AV$1:AV$65536,0))</f>
      </c>
      <c r="AX4" s="199">
        <f aca="true" t="shared" si="19" ref="AX4:AX27">IF(AV4="","",((RANK(AV4,AV$1:AV$65536,0))+(FREQUENCY(AW$1:AW$65536,AW4)))/2)</f>
      </c>
      <c r="AY4" s="200"/>
      <c r="AZ4" s="197">
        <f>IF(ISNA(MATCH(CONCATENATE(AZ$2,$A4),'Výsledková listina'!$R:$R,0)),"",INDEX('Výsledková listina'!$B:$B,MATCH(CONCATENATE(AZ$2,$A4),'Výsledková listina'!$R:$R,0),1))</f>
      </c>
      <c r="BA4" s="176"/>
      <c r="BB4" s="198">
        <f aca="true" t="shared" si="20" ref="BB4:BB27">IF(BA4="","",RANK(BA4,BA$1:BA$65536,0))</f>
      </c>
      <c r="BC4" s="199">
        <f aca="true" t="shared" si="21" ref="BC4:BC27">IF(BA4="","",((RANK(BA4,BA$1:BA$65536,0))+(FREQUENCY(BB$1:BB$65536,BB4)))/2)</f>
      </c>
      <c r="BD4" s="200"/>
      <c r="BE4" s="197">
        <f>IF(ISNA(MATCH(CONCATENATE(BE$2,$A4),'Výsledková listina'!$R:$R,0)),"",INDEX('Výsledková listina'!$B:$B,MATCH(CONCATENATE(BE$2,$A4),'Výsledková listina'!$R:$R,0),1))</f>
      </c>
      <c r="BF4" s="176"/>
      <c r="BG4" s="198">
        <f aca="true" t="shared" si="22" ref="BG4:BG27">IF(BF4="","",RANK(BF4,BF$1:BF$65536,0))</f>
      </c>
      <c r="BH4" s="199">
        <f aca="true" t="shared" si="23" ref="BH4:BH27">IF(BF4="","",((RANK(BF4,BF$1:BF$65536,0))+(FREQUENCY(BG$1:BG$65536,BG4)))/2)</f>
      </c>
      <c r="BI4" s="200"/>
      <c r="BJ4" s="197">
        <f>IF(ISNA(MATCH(CONCATENATE(BJ$2,$A4),'Výsledková listina'!$R:$R,0)),"",INDEX('Výsledková listina'!$B:$B,MATCH(CONCATENATE(BJ$2,$A4),'Výsledková listina'!$R:$R,0),1))</f>
      </c>
      <c r="BK4" s="176"/>
      <c r="BL4" s="198">
        <f aca="true" t="shared" si="24" ref="BL4:BL27">IF(BK4="","",RANK(BK4,BK$1:BK$65536,0))</f>
      </c>
      <c r="BM4" s="199">
        <f aca="true" t="shared" si="25" ref="BM4:BM27">IF(BK4="","",((RANK(BK4,BK$1:BK$65536,0))+(FREQUENCY(BL$1:BL$65536,BL4)))/2)</f>
      </c>
      <c r="BN4" s="200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</row>
    <row r="5" spans="1:137" s="202" customFormat="1" ht="34.5" customHeight="1">
      <c r="A5" s="203">
        <v>2</v>
      </c>
      <c r="B5" s="197" t="str">
        <f>IF(ISNA(MATCH(CONCATENATE(B$2,$A5),'Výsledková listina'!$R:$R,0)),"",INDEX('Výsledková listina'!$B:$B,MATCH(CONCATENATE(B$2,$A5),'Výsledková listina'!$R:$R,0),1))</f>
        <v>Staněk Karel</v>
      </c>
      <c r="C5" s="176">
        <v>13380</v>
      </c>
      <c r="D5" s="198">
        <f t="shared" si="0"/>
        <v>3</v>
      </c>
      <c r="E5" s="199">
        <f t="shared" si="1"/>
        <v>3</v>
      </c>
      <c r="F5" s="200"/>
      <c r="G5" s="197" t="str">
        <f>IF(ISNA(MATCH(CONCATENATE(G$2,$A5),'Výsledková listina'!$R:$R,0)),"",INDEX('Výsledková listina'!$B:$B,MATCH(CONCATENATE(G$2,$A5),'Výsledková listina'!$R:$R,0),1))</f>
        <v>Stříbrský Viktor</v>
      </c>
      <c r="H5" s="176">
        <v>1160</v>
      </c>
      <c r="I5" s="198">
        <f t="shared" si="2"/>
        <v>13</v>
      </c>
      <c r="J5" s="199">
        <f t="shared" si="3"/>
        <v>13</v>
      </c>
      <c r="K5" s="200"/>
      <c r="L5" s="197" t="str">
        <f>IF(ISNA(MATCH(CONCATENATE(L$2,$A5),'Výsledková listina'!$R:$R,0)),"",INDEX('Výsledková listina'!$B:$B,MATCH(CONCATENATE(L$2,$A5),'Výsledková listina'!$R:$R,0),1))</f>
        <v>Štěpnička Martin</v>
      </c>
      <c r="M5" s="176">
        <v>13800</v>
      </c>
      <c r="N5" s="198">
        <f t="shared" si="4"/>
        <v>1</v>
      </c>
      <c r="O5" s="199">
        <f t="shared" si="5"/>
        <v>1</v>
      </c>
      <c r="P5" s="200"/>
      <c r="Q5" s="197" t="str">
        <f>IF(ISNA(MATCH(CONCATENATE(Q$2,$A5),'Výsledková listina'!$R:$R,0)),"",INDEX('Výsledková listina'!$B:$B,MATCH(CONCATENATE(Q$2,$A5),'Výsledková listina'!$R:$R,0),1))</f>
        <v>Rajdl Jaroslav</v>
      </c>
      <c r="R5" s="176">
        <v>6180</v>
      </c>
      <c r="S5" s="198">
        <f t="shared" si="6"/>
        <v>2</v>
      </c>
      <c r="T5" s="199">
        <f t="shared" si="7"/>
        <v>2</v>
      </c>
      <c r="U5" s="200"/>
      <c r="V5" s="197" t="str">
        <f>IF(ISNA(MATCH(CONCATENATE(V$2,$A5),'Výsledková listina'!$R:$R,0)),"",INDEX('Výsledková listina'!$B:$B,MATCH(CONCATENATE(V$2,$A5),'Výsledková listina'!$R:$R,0),1))</f>
        <v>Pluchta Petr</v>
      </c>
      <c r="W5" s="176">
        <v>100</v>
      </c>
      <c r="X5" s="198">
        <f t="shared" si="8"/>
        <v>16</v>
      </c>
      <c r="Y5" s="199">
        <f t="shared" si="9"/>
        <v>16</v>
      </c>
      <c r="Z5" s="200"/>
      <c r="AA5" s="197" t="str">
        <f>IF(ISNA(MATCH(CONCATENATE(AA$2,$A5),'Výsledková listina'!$R:$R,0)),"",INDEX('Výsledková listina'!$B:$B,MATCH(CONCATENATE(AA$2,$A5),'Výsledková listina'!$R:$R,0),1))</f>
        <v>Vacek Jan</v>
      </c>
      <c r="AB5" s="176">
        <v>9120</v>
      </c>
      <c r="AC5" s="198">
        <f t="shared" si="10"/>
        <v>7</v>
      </c>
      <c r="AD5" s="199">
        <f t="shared" si="11"/>
        <v>7</v>
      </c>
      <c r="AE5" s="200"/>
      <c r="AF5" s="197" t="str">
        <f>IF(ISNA(MATCH(CONCATENATE(AF$2,$A5),'Výsledková listina'!$R:$R,0)),"",INDEX('Výsledková listina'!$B:$B,MATCH(CONCATENATE(AF$2,$A5),'Výsledková listina'!$R:$R,0),1))</f>
        <v>Vrtěl Petr</v>
      </c>
      <c r="AG5" s="176">
        <v>10600</v>
      </c>
      <c r="AH5" s="198">
        <f t="shared" si="12"/>
        <v>9</v>
      </c>
      <c r="AI5" s="199">
        <f t="shared" si="13"/>
        <v>9</v>
      </c>
      <c r="AJ5" s="200"/>
      <c r="AK5" s="197" t="str">
        <f>IF(ISNA(MATCH(CONCATENATE(AK$2,$A5),'Výsledková listina'!$R:$R,0)),"",INDEX('Výsledková listina'!$B:$B,MATCH(CONCATENATE(AK$2,$A5),'Výsledková listina'!$R:$R,0),1))</f>
        <v>Kryštofy Roman</v>
      </c>
      <c r="AL5" s="176">
        <v>390</v>
      </c>
      <c r="AM5" s="198">
        <f t="shared" si="14"/>
        <v>15</v>
      </c>
      <c r="AN5" s="199">
        <f t="shared" si="15"/>
        <v>15</v>
      </c>
      <c r="AO5" s="200"/>
      <c r="AP5" s="197" t="str">
        <f>IF(ISNA(MATCH(CONCATENATE(AP$2,$A5),'Výsledková listina'!$R:$R,0)),"",INDEX('Výsledková listina'!$B:$B,MATCH(CONCATENATE(AP$2,$A5),'Výsledková listina'!$R:$R,0),1))</f>
        <v>Mucala Karel</v>
      </c>
      <c r="AQ5" s="176">
        <v>12870</v>
      </c>
      <c r="AR5" s="198">
        <f t="shared" si="16"/>
        <v>6</v>
      </c>
      <c r="AS5" s="199">
        <f t="shared" si="17"/>
        <v>6</v>
      </c>
      <c r="AT5" s="200"/>
      <c r="AU5" s="197">
        <f>IF(ISNA(MATCH(CONCATENATE(AU$2,$A5),'Výsledková listina'!$R:$R,0)),"",INDEX('Výsledková listina'!$B:$B,MATCH(CONCATENATE(AU$2,$A5),'Výsledková listina'!$R:$R,0),1))</f>
      </c>
      <c r="AV5" s="176"/>
      <c r="AW5" s="198">
        <f t="shared" si="18"/>
      </c>
      <c r="AX5" s="199">
        <f t="shared" si="19"/>
      </c>
      <c r="AY5" s="200"/>
      <c r="AZ5" s="197">
        <f>IF(ISNA(MATCH(CONCATENATE(AZ$2,$A5),'Výsledková listina'!$R:$R,0)),"",INDEX('Výsledková listina'!$B:$B,MATCH(CONCATENATE(AZ$2,$A5),'Výsledková listina'!$R:$R,0),1))</f>
      </c>
      <c r="BA5" s="176"/>
      <c r="BB5" s="198">
        <f t="shared" si="20"/>
      </c>
      <c r="BC5" s="199">
        <f t="shared" si="21"/>
      </c>
      <c r="BD5" s="200"/>
      <c r="BE5" s="197">
        <f>IF(ISNA(MATCH(CONCATENATE(BE$2,$A5),'Výsledková listina'!$R:$R,0)),"",INDEX('Výsledková listina'!$B:$B,MATCH(CONCATENATE(BE$2,$A5),'Výsledková listina'!$R:$R,0),1))</f>
      </c>
      <c r="BF5" s="176"/>
      <c r="BG5" s="198">
        <f t="shared" si="22"/>
      </c>
      <c r="BH5" s="199">
        <f t="shared" si="23"/>
      </c>
      <c r="BI5" s="200"/>
      <c r="BJ5" s="197">
        <f>IF(ISNA(MATCH(CONCATENATE(BJ$2,$A5),'Výsledková listina'!$R:$R,0)),"",INDEX('Výsledková listina'!$B:$B,MATCH(CONCATENATE(BJ$2,$A5),'Výsledková listina'!$R:$R,0),1))</f>
      </c>
      <c r="BK5" s="176"/>
      <c r="BL5" s="198">
        <f t="shared" si="24"/>
      </c>
      <c r="BM5" s="199">
        <f t="shared" si="25"/>
      </c>
      <c r="BN5" s="200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</row>
    <row r="6" spans="1:137" s="202" customFormat="1" ht="34.5" customHeight="1">
      <c r="A6" s="203">
        <v>3</v>
      </c>
      <c r="B6" s="197" t="str">
        <f>IF(ISNA(MATCH(CONCATENATE(B$2,$A6),'Výsledková listina'!$R:$R,0)),"",INDEX('Výsledková listina'!$B:$B,MATCH(CONCATENATE(B$2,$A6),'Výsledková listina'!$R:$R,0),1))</f>
        <v>Mucala David</v>
      </c>
      <c r="C6" s="176">
        <v>10540</v>
      </c>
      <c r="D6" s="198">
        <f t="shared" si="0"/>
        <v>6</v>
      </c>
      <c r="E6" s="199">
        <f t="shared" si="1"/>
        <v>6</v>
      </c>
      <c r="F6" s="200"/>
      <c r="G6" s="197" t="str">
        <f>IF(ISNA(MATCH(CONCATENATE(G$2,$A6),'Výsledková listina'!$R:$R,0)),"",INDEX('Výsledková listina'!$B:$B,MATCH(CONCATENATE(G$2,$A6),'Výsledková listina'!$R:$R,0),1))</f>
        <v>Vrtěl Ondřej</v>
      </c>
      <c r="H6" s="176">
        <v>3600</v>
      </c>
      <c r="I6" s="198">
        <f t="shared" si="2"/>
        <v>10</v>
      </c>
      <c r="J6" s="199">
        <f t="shared" si="3"/>
        <v>10</v>
      </c>
      <c r="K6" s="200"/>
      <c r="L6" s="197" t="str">
        <f>IF(ISNA(MATCH(CONCATENATE(L$2,$A6),'Výsledková listina'!$R:$R,0)),"",INDEX('Výsledková listina'!$B:$B,MATCH(CONCATENATE(L$2,$A6),'Výsledková listina'!$R:$R,0),1))</f>
        <v>Vichr Milan</v>
      </c>
      <c r="M6" s="176">
        <v>4980</v>
      </c>
      <c r="N6" s="198">
        <f t="shared" si="4"/>
        <v>10</v>
      </c>
      <c r="O6" s="199">
        <f t="shared" si="5"/>
        <v>10</v>
      </c>
      <c r="P6" s="200"/>
      <c r="Q6" s="197" t="str">
        <f>IF(ISNA(MATCH(CONCATENATE(Q$2,$A6),'Výsledková listina'!$R:$R,0)),"",INDEX('Výsledková listina'!$B:$B,MATCH(CONCATENATE(Q$2,$A6),'Výsledková listina'!$R:$R,0),1))</f>
        <v>Zumr Michal</v>
      </c>
      <c r="R6" s="176">
        <v>4800</v>
      </c>
      <c r="S6" s="198">
        <f t="shared" si="6"/>
        <v>6</v>
      </c>
      <c r="T6" s="199">
        <f t="shared" si="7"/>
        <v>6</v>
      </c>
      <c r="U6" s="200"/>
      <c r="V6" s="197" t="str">
        <f>IF(ISNA(MATCH(CONCATENATE(V$2,$A6),'Výsledková listina'!$R:$R,0)),"",INDEX('Výsledková listina'!$B:$B,MATCH(CONCATENATE(V$2,$A6),'Výsledková listina'!$R:$R,0),1))</f>
        <v>Černý Tomáš ml.</v>
      </c>
      <c r="W6" s="176">
        <v>1040</v>
      </c>
      <c r="X6" s="198">
        <f t="shared" si="8"/>
        <v>15</v>
      </c>
      <c r="Y6" s="199">
        <f t="shared" si="9"/>
        <v>15</v>
      </c>
      <c r="Z6" s="200"/>
      <c r="AA6" s="197" t="str">
        <f>IF(ISNA(MATCH(CONCATENATE(AA$2,$A6),'Výsledková listina'!$R:$R,0)),"",INDEX('Výsledková listina'!$B:$B,MATCH(CONCATENATE(AA$2,$A6),'Výsledková listina'!$R:$R,0),1))</f>
        <v>Tvarůžek Miroslav</v>
      </c>
      <c r="AB6" s="176">
        <v>11700</v>
      </c>
      <c r="AC6" s="198">
        <f t="shared" si="10"/>
        <v>3</v>
      </c>
      <c r="AD6" s="199">
        <f t="shared" si="11"/>
        <v>3</v>
      </c>
      <c r="AE6" s="200"/>
      <c r="AF6" s="197" t="str">
        <f>IF(ISNA(MATCH(CONCATENATE(AF$2,$A6),'Výsledková listina'!$R:$R,0)),"",INDEX('Výsledková listina'!$B:$B,MATCH(CONCATENATE(AF$2,$A6),'Výsledková listina'!$R:$R,0),1))</f>
        <v>Vitásek Jiří</v>
      </c>
      <c r="AG6" s="176">
        <v>12760</v>
      </c>
      <c r="AH6" s="198">
        <f t="shared" si="12"/>
        <v>6</v>
      </c>
      <c r="AI6" s="199">
        <f t="shared" si="13"/>
        <v>6</v>
      </c>
      <c r="AJ6" s="200"/>
      <c r="AK6" s="197" t="str">
        <f>IF(ISNA(MATCH(CONCATENATE(AK$2,$A6),'Výsledková listina'!$R:$R,0)),"",INDEX('Výsledková listina'!$B:$B,MATCH(CONCATENATE(AK$2,$A6),'Výsledková listina'!$R:$R,0),1))</f>
        <v>Lang Radek</v>
      </c>
      <c r="AL6" s="176">
        <v>0</v>
      </c>
      <c r="AM6" s="198">
        <f t="shared" si="14"/>
        <v>16</v>
      </c>
      <c r="AN6" s="199">
        <f t="shared" si="15"/>
        <v>16</v>
      </c>
      <c r="AO6" s="200"/>
      <c r="AP6" s="197" t="str">
        <f>IF(ISNA(MATCH(CONCATENATE(AP$2,$A6),'Výsledková listina'!$R:$R,0)),"",INDEX('Výsledková listina'!$B:$B,MATCH(CONCATENATE(AP$2,$A6),'Výsledková listina'!$R:$R,0),1))</f>
        <v>Krakowitzer Jiří</v>
      </c>
      <c r="AQ6" s="176">
        <v>4900</v>
      </c>
      <c r="AR6" s="198">
        <f t="shared" si="16"/>
        <v>15</v>
      </c>
      <c r="AS6" s="199">
        <f t="shared" si="17"/>
        <v>15</v>
      </c>
      <c r="AT6" s="200"/>
      <c r="AU6" s="197">
        <f>IF(ISNA(MATCH(CONCATENATE(AU$2,$A6),'Výsledková listina'!$R:$R,0)),"",INDEX('Výsledková listina'!$B:$B,MATCH(CONCATENATE(AU$2,$A6),'Výsledková listina'!$R:$R,0),1))</f>
      </c>
      <c r="AV6" s="176"/>
      <c r="AW6" s="198">
        <f t="shared" si="18"/>
      </c>
      <c r="AX6" s="199">
        <f t="shared" si="19"/>
      </c>
      <c r="AY6" s="200"/>
      <c r="AZ6" s="197">
        <f>IF(ISNA(MATCH(CONCATENATE(AZ$2,$A6),'Výsledková listina'!$R:$R,0)),"",INDEX('Výsledková listina'!$B:$B,MATCH(CONCATENATE(AZ$2,$A6),'Výsledková listina'!$R:$R,0),1))</f>
      </c>
      <c r="BA6" s="176"/>
      <c r="BB6" s="198">
        <f t="shared" si="20"/>
      </c>
      <c r="BC6" s="199">
        <f t="shared" si="21"/>
      </c>
      <c r="BD6" s="200"/>
      <c r="BE6" s="197">
        <f>IF(ISNA(MATCH(CONCATENATE(BE$2,$A6),'Výsledková listina'!$R:$R,0)),"",INDEX('Výsledková listina'!$B:$B,MATCH(CONCATENATE(BE$2,$A6),'Výsledková listina'!$R:$R,0),1))</f>
      </c>
      <c r="BF6" s="176"/>
      <c r="BG6" s="198">
        <f t="shared" si="22"/>
      </c>
      <c r="BH6" s="199">
        <f t="shared" si="23"/>
      </c>
      <c r="BI6" s="200"/>
      <c r="BJ6" s="197">
        <f>IF(ISNA(MATCH(CONCATENATE(BJ$2,$A6),'Výsledková listina'!$R:$R,0)),"",INDEX('Výsledková listina'!$B:$B,MATCH(CONCATENATE(BJ$2,$A6),'Výsledková listina'!$R:$R,0),1))</f>
      </c>
      <c r="BK6" s="176"/>
      <c r="BL6" s="198">
        <f t="shared" si="24"/>
      </c>
      <c r="BM6" s="199">
        <f t="shared" si="25"/>
      </c>
      <c r="BN6" s="200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</row>
    <row r="7" spans="1:137" s="202" customFormat="1" ht="34.5" customHeight="1">
      <c r="A7" s="203">
        <v>4</v>
      </c>
      <c r="B7" s="197" t="str">
        <f>IF(ISNA(MATCH(CONCATENATE(B$2,$A7),'Výsledková listina'!$R:$R,0)),"",INDEX('Výsledková listina'!$B:$B,MATCH(CONCATENATE(B$2,$A7),'Výsledková listina'!$R:$R,0),1))</f>
        <v>Komora Martin</v>
      </c>
      <c r="C7" s="176">
        <v>9480</v>
      </c>
      <c r="D7" s="198">
        <f t="shared" si="0"/>
        <v>8</v>
      </c>
      <c r="E7" s="199">
        <f t="shared" si="1"/>
        <v>8</v>
      </c>
      <c r="F7" s="200"/>
      <c r="G7" s="197" t="str">
        <f>IF(ISNA(MATCH(CONCATENATE(G$2,$A7),'Výsledková listina'!$R:$R,0)),"",INDEX('Výsledková listina'!$B:$B,MATCH(CONCATENATE(G$2,$A7),'Výsledková listina'!$R:$R,0),1))</f>
        <v>Viktorin Tomáš</v>
      </c>
      <c r="H7" s="176">
        <v>8170</v>
      </c>
      <c r="I7" s="198">
        <f t="shared" si="2"/>
        <v>3</v>
      </c>
      <c r="J7" s="199">
        <f t="shared" si="3"/>
        <v>3</v>
      </c>
      <c r="K7" s="200"/>
      <c r="L7" s="197" t="str">
        <f>IF(ISNA(MATCH(CONCATENATE(L$2,$A7),'Výsledková listina'!$R:$R,0)),"",INDEX('Výsledková listina'!$B:$B,MATCH(CONCATENATE(L$2,$A7),'Výsledková listina'!$R:$R,0),1))</f>
        <v>Hladík Roman</v>
      </c>
      <c r="M7" s="176">
        <v>11260</v>
      </c>
      <c r="N7" s="198">
        <f t="shared" si="4"/>
        <v>3</v>
      </c>
      <c r="O7" s="199">
        <f t="shared" si="5"/>
        <v>3</v>
      </c>
      <c r="P7" s="200"/>
      <c r="Q7" s="197" t="str">
        <f>IF(ISNA(MATCH(CONCATENATE(Q$2,$A7),'Výsledková listina'!$R:$R,0)),"",INDEX('Výsledková listina'!$B:$B,MATCH(CONCATENATE(Q$2,$A7),'Výsledková listina'!$R:$R,0),1))</f>
        <v>Ondraček Petr</v>
      </c>
      <c r="R7" s="176">
        <v>2420</v>
      </c>
      <c r="S7" s="198">
        <f t="shared" si="6"/>
        <v>9</v>
      </c>
      <c r="T7" s="199">
        <f t="shared" si="7"/>
        <v>9</v>
      </c>
      <c r="U7" s="200"/>
      <c r="V7" s="197" t="str">
        <f>IF(ISNA(MATCH(CONCATENATE(V$2,$A7),'Výsledková listina'!$R:$R,0)),"",INDEX('Výsledková listina'!$B:$B,MATCH(CONCATENATE(V$2,$A7),'Výsledková listina'!$R:$R,0),1))</f>
        <v>Moravčík Petr</v>
      </c>
      <c r="W7" s="176">
        <v>1840</v>
      </c>
      <c r="X7" s="198">
        <f t="shared" si="8"/>
        <v>11</v>
      </c>
      <c r="Y7" s="199">
        <f t="shared" si="9"/>
        <v>11</v>
      </c>
      <c r="Z7" s="200"/>
      <c r="AA7" s="197" t="str">
        <f>IF(ISNA(MATCH(CONCATENATE(AA$2,$A7),'Výsledková listina'!$R:$R,0)),"",INDEX('Výsledková listina'!$B:$B,MATCH(CONCATENATE(AA$2,$A7),'Výsledková listina'!$R:$R,0),1))</f>
        <v>Dědík Vladimír</v>
      </c>
      <c r="AB7" s="176">
        <v>5500</v>
      </c>
      <c r="AC7" s="198">
        <f t="shared" si="10"/>
        <v>11</v>
      </c>
      <c r="AD7" s="199">
        <f t="shared" si="11"/>
        <v>11</v>
      </c>
      <c r="AE7" s="200"/>
      <c r="AF7" s="197" t="str">
        <f>IF(ISNA(MATCH(CONCATENATE(AF$2,$A7),'Výsledková listina'!$R:$R,0)),"",INDEX('Výsledková listina'!$B:$B,MATCH(CONCATENATE(AF$2,$A7),'Výsledková listina'!$R:$R,0),1))</f>
        <v>Jurkovič Jan</v>
      </c>
      <c r="AG7" s="176">
        <v>1430</v>
      </c>
      <c r="AH7" s="198">
        <f t="shared" si="12"/>
        <v>16</v>
      </c>
      <c r="AI7" s="199">
        <f t="shared" si="13"/>
        <v>16</v>
      </c>
      <c r="AJ7" s="200"/>
      <c r="AK7" s="197" t="str">
        <f>IF(ISNA(MATCH(CONCATENATE(AK$2,$A7),'Výsledková listina'!$R:$R,0)),"",INDEX('Výsledková listina'!$B:$B,MATCH(CONCATENATE(AK$2,$A7),'Výsledková listina'!$R:$R,0),1))</f>
        <v>Vymazal Petr</v>
      </c>
      <c r="AL7" s="176">
        <v>9710</v>
      </c>
      <c r="AM7" s="198">
        <f t="shared" si="14"/>
        <v>7</v>
      </c>
      <c r="AN7" s="199">
        <f t="shared" si="15"/>
        <v>7</v>
      </c>
      <c r="AO7" s="200"/>
      <c r="AP7" s="197" t="str">
        <f>IF(ISNA(MATCH(CONCATENATE(AP$2,$A7),'Výsledková listina'!$R:$R,0)),"",INDEX('Výsledková listina'!$B:$B,MATCH(CONCATENATE(AP$2,$A7),'Výsledková listina'!$R:$R,0),1))</f>
        <v>Kejnar Zdeněk</v>
      </c>
      <c r="AQ7" s="176">
        <v>7190</v>
      </c>
      <c r="AR7" s="198">
        <f t="shared" si="16"/>
        <v>13</v>
      </c>
      <c r="AS7" s="199">
        <f t="shared" si="17"/>
        <v>13</v>
      </c>
      <c r="AT7" s="200"/>
      <c r="AU7" s="197">
        <f>IF(ISNA(MATCH(CONCATENATE(AU$2,$A7),'Výsledková listina'!$R:$R,0)),"",INDEX('Výsledková listina'!$B:$B,MATCH(CONCATENATE(AU$2,$A7),'Výsledková listina'!$R:$R,0),1))</f>
      </c>
      <c r="AV7" s="176"/>
      <c r="AW7" s="198">
        <f t="shared" si="18"/>
      </c>
      <c r="AX7" s="199">
        <f t="shared" si="19"/>
      </c>
      <c r="AY7" s="200"/>
      <c r="AZ7" s="197">
        <f>IF(ISNA(MATCH(CONCATENATE(AZ$2,$A7),'Výsledková listina'!$R:$R,0)),"",INDEX('Výsledková listina'!$B:$B,MATCH(CONCATENATE(AZ$2,$A7),'Výsledková listina'!$R:$R,0),1))</f>
      </c>
      <c r="BA7" s="176"/>
      <c r="BB7" s="198">
        <f t="shared" si="20"/>
      </c>
      <c r="BC7" s="199">
        <f t="shared" si="21"/>
      </c>
      <c r="BD7" s="200"/>
      <c r="BE7" s="197">
        <f>IF(ISNA(MATCH(CONCATENATE(BE$2,$A7),'Výsledková listina'!$R:$R,0)),"",INDEX('Výsledková listina'!$B:$B,MATCH(CONCATENATE(BE$2,$A7),'Výsledková listina'!$R:$R,0),1))</f>
      </c>
      <c r="BF7" s="176"/>
      <c r="BG7" s="198">
        <f t="shared" si="22"/>
      </c>
      <c r="BH7" s="199">
        <f t="shared" si="23"/>
      </c>
      <c r="BI7" s="200"/>
      <c r="BJ7" s="197">
        <f>IF(ISNA(MATCH(CONCATENATE(BJ$2,$A7),'Výsledková listina'!$R:$R,0)),"",INDEX('Výsledková listina'!$B:$B,MATCH(CONCATENATE(BJ$2,$A7),'Výsledková listina'!$R:$R,0),1))</f>
      </c>
      <c r="BK7" s="176"/>
      <c r="BL7" s="198">
        <f t="shared" si="24"/>
      </c>
      <c r="BM7" s="199">
        <f t="shared" si="25"/>
      </c>
      <c r="BN7" s="200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</row>
    <row r="8" spans="1:137" s="202" customFormat="1" ht="34.5" customHeight="1">
      <c r="A8" s="203">
        <v>5</v>
      </c>
      <c r="B8" s="197" t="str">
        <f>IF(ISNA(MATCH(CONCATENATE(B$2,$A8),'Výsledková listina'!$R:$R,0)),"",INDEX('Výsledková listina'!$B:$B,MATCH(CONCATENATE(B$2,$A8),'Výsledková listina'!$R:$R,0),1))</f>
        <v>Nimko Maryan</v>
      </c>
      <c r="C8" s="176">
        <v>4680</v>
      </c>
      <c r="D8" s="198">
        <f t="shared" si="0"/>
        <v>13</v>
      </c>
      <c r="E8" s="199">
        <f t="shared" si="1"/>
        <v>13</v>
      </c>
      <c r="F8" s="200"/>
      <c r="G8" s="197" t="str">
        <f>IF(ISNA(MATCH(CONCATENATE(G$2,$A8),'Výsledková listina'!$R:$R,0)),"",INDEX('Výsledková listina'!$B:$B,MATCH(CONCATENATE(G$2,$A8),'Výsledková listina'!$R:$R,0),1))</f>
        <v>Šerý Kamil</v>
      </c>
      <c r="H8" s="176">
        <v>3990</v>
      </c>
      <c r="I8" s="198">
        <f t="shared" si="2"/>
        <v>9</v>
      </c>
      <c r="J8" s="199">
        <f t="shared" si="3"/>
        <v>9</v>
      </c>
      <c r="K8" s="200"/>
      <c r="L8" s="197" t="str">
        <f>IF(ISNA(MATCH(CONCATENATE(L$2,$A8),'Výsledková listina'!$R:$R,0)),"",INDEX('Výsledková listina'!$B:$B,MATCH(CONCATENATE(L$2,$A8),'Výsledková listina'!$R:$R,0),1))</f>
        <v>Kameník Jaroslav</v>
      </c>
      <c r="M8" s="176">
        <v>11440</v>
      </c>
      <c r="N8" s="198">
        <f t="shared" si="4"/>
        <v>2</v>
      </c>
      <c r="O8" s="199">
        <f t="shared" si="5"/>
        <v>2</v>
      </c>
      <c r="P8" s="200"/>
      <c r="Q8" s="197" t="str">
        <f>IF(ISNA(MATCH(CONCATENATE(Q$2,$A8),'Výsledková listina'!$R:$R,0)),"",INDEX('Výsledková listina'!$B:$B,MATCH(CONCATENATE(Q$2,$A8),'Výsledková listina'!$R:$R,0),1))</f>
        <v>Havlíček Petr</v>
      </c>
      <c r="R8" s="176">
        <v>2220</v>
      </c>
      <c r="S8" s="198">
        <f t="shared" si="6"/>
        <v>10</v>
      </c>
      <c r="T8" s="199">
        <f t="shared" si="7"/>
        <v>10</v>
      </c>
      <c r="U8" s="200"/>
      <c r="V8" s="197" t="str">
        <f>IF(ISNA(MATCH(CONCATENATE(V$2,$A8),'Výsledková listina'!$R:$R,0)),"",INDEX('Výsledková listina'!$B:$B,MATCH(CONCATENATE(V$2,$A8),'Výsledková listina'!$R:$R,0),1))</f>
        <v>Bartoň Štěpán</v>
      </c>
      <c r="W8" s="176">
        <v>5060</v>
      </c>
      <c r="X8" s="198">
        <f t="shared" si="8"/>
        <v>6</v>
      </c>
      <c r="Y8" s="199">
        <f t="shared" si="9"/>
        <v>6</v>
      </c>
      <c r="Z8" s="200"/>
      <c r="AA8" s="197" t="str">
        <f>IF(ISNA(MATCH(CONCATENATE(AA$2,$A8),'Výsledková listina'!$R:$R,0)),"",INDEX('Výsledková listina'!$B:$B,MATCH(CONCATENATE(AA$2,$A8),'Výsledková listina'!$R:$R,0),1))</f>
        <v>Košina Pavel</v>
      </c>
      <c r="AB8" s="176">
        <v>6530</v>
      </c>
      <c r="AC8" s="198">
        <f t="shared" si="10"/>
        <v>10</v>
      </c>
      <c r="AD8" s="199">
        <f t="shared" si="11"/>
        <v>10</v>
      </c>
      <c r="AE8" s="200"/>
      <c r="AF8" s="197" t="str">
        <f>IF(ISNA(MATCH(CONCATENATE(AF$2,$A8),'Výsledková listina'!$R:$R,0)),"",INDEX('Výsledková listina'!$B:$B,MATCH(CONCATENATE(AF$2,$A8),'Výsledková listina'!$R:$R,0),1))</f>
        <v>Fedas Michal</v>
      </c>
      <c r="AG8" s="176">
        <v>2110</v>
      </c>
      <c r="AH8" s="198">
        <f t="shared" si="12"/>
        <v>15</v>
      </c>
      <c r="AI8" s="199">
        <f t="shared" si="13"/>
        <v>15</v>
      </c>
      <c r="AJ8" s="200"/>
      <c r="AK8" s="197" t="str">
        <f>IF(ISNA(MATCH(CONCATENATE(AK$2,$A8),'Výsledková listina'!$R:$R,0)),"",INDEX('Výsledková listina'!$B:$B,MATCH(CONCATENATE(AK$2,$A8),'Výsledková listina'!$R:$R,0),1))</f>
        <v>Tichý Jan</v>
      </c>
      <c r="AL8" s="176">
        <v>13050</v>
      </c>
      <c r="AM8" s="198">
        <f t="shared" si="14"/>
        <v>4</v>
      </c>
      <c r="AN8" s="199">
        <f t="shared" si="15"/>
        <v>4</v>
      </c>
      <c r="AO8" s="200"/>
      <c r="AP8" s="197" t="str">
        <f>IF(ISNA(MATCH(CONCATENATE(AP$2,$A8),'Výsledková listina'!$R:$R,0)),"",INDEX('Výsledková listina'!$B:$B,MATCH(CONCATENATE(AP$2,$A8),'Výsledková listina'!$R:$R,0),1))</f>
        <v>Konopásek Richard</v>
      </c>
      <c r="AQ8" s="176">
        <v>12260</v>
      </c>
      <c r="AR8" s="198">
        <f t="shared" si="16"/>
        <v>10</v>
      </c>
      <c r="AS8" s="199">
        <f t="shared" si="17"/>
        <v>10</v>
      </c>
      <c r="AT8" s="200"/>
      <c r="AU8" s="197">
        <f>IF(ISNA(MATCH(CONCATENATE(AU$2,$A8),'Výsledková listina'!$R:$R,0)),"",INDEX('Výsledková listina'!$B:$B,MATCH(CONCATENATE(AU$2,$A8),'Výsledková listina'!$R:$R,0),1))</f>
      </c>
      <c r="AV8" s="176"/>
      <c r="AW8" s="198">
        <f t="shared" si="18"/>
      </c>
      <c r="AX8" s="199">
        <f t="shared" si="19"/>
      </c>
      <c r="AY8" s="200"/>
      <c r="AZ8" s="197">
        <f>IF(ISNA(MATCH(CONCATENATE(AZ$2,$A8),'Výsledková listina'!$R:$R,0)),"",INDEX('Výsledková listina'!$B:$B,MATCH(CONCATENATE(AZ$2,$A8),'Výsledková listina'!$R:$R,0),1))</f>
      </c>
      <c r="BA8" s="176"/>
      <c r="BB8" s="198">
        <f t="shared" si="20"/>
      </c>
      <c r="BC8" s="199">
        <f t="shared" si="21"/>
      </c>
      <c r="BD8" s="200"/>
      <c r="BE8" s="197">
        <f>IF(ISNA(MATCH(CONCATENATE(BE$2,$A8),'Výsledková listina'!$R:$R,0)),"",INDEX('Výsledková listina'!$B:$B,MATCH(CONCATENATE(BE$2,$A8),'Výsledková listina'!$R:$R,0),1))</f>
      </c>
      <c r="BF8" s="176"/>
      <c r="BG8" s="198">
        <f t="shared" si="22"/>
      </c>
      <c r="BH8" s="199">
        <f t="shared" si="23"/>
      </c>
      <c r="BI8" s="200"/>
      <c r="BJ8" s="197">
        <f>IF(ISNA(MATCH(CONCATENATE(BJ$2,$A8),'Výsledková listina'!$R:$R,0)),"",INDEX('Výsledková listina'!$B:$B,MATCH(CONCATENATE(BJ$2,$A8),'Výsledková listina'!$R:$R,0),1))</f>
      </c>
      <c r="BK8" s="176"/>
      <c r="BL8" s="198">
        <f t="shared" si="24"/>
      </c>
      <c r="BM8" s="199">
        <f t="shared" si="25"/>
      </c>
      <c r="BN8" s="200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</row>
    <row r="9" spans="1:137" s="202" customFormat="1" ht="34.5" customHeight="1">
      <c r="A9" s="203">
        <v>6</v>
      </c>
      <c r="B9" s="197" t="str">
        <f>IF(ISNA(MATCH(CONCATENATE(B$2,$A9),'Výsledková listina'!$R:$R,0)),"",INDEX('Výsledková listina'!$B:$B,MATCH(CONCATENATE(B$2,$A9),'Výsledková listina'!$R:$R,0),1))</f>
        <v>Maťak Martin</v>
      </c>
      <c r="C9" s="176">
        <v>15970</v>
      </c>
      <c r="D9" s="198">
        <f t="shared" si="0"/>
        <v>1</v>
      </c>
      <c r="E9" s="199">
        <f t="shared" si="1"/>
        <v>1</v>
      </c>
      <c r="F9" s="200"/>
      <c r="G9" s="197" t="str">
        <f>IF(ISNA(MATCH(CONCATENATE(G$2,$A9),'Výsledková listina'!$R:$R,0)),"",INDEX('Výsledková listina'!$B:$B,MATCH(CONCATENATE(G$2,$A9),'Výsledková listina'!$R:$R,0),1))</f>
        <v>Koubek František</v>
      </c>
      <c r="H9" s="176">
        <v>2850</v>
      </c>
      <c r="I9" s="198">
        <f t="shared" si="2"/>
        <v>12</v>
      </c>
      <c r="J9" s="199">
        <f t="shared" si="3"/>
        <v>12</v>
      </c>
      <c r="K9" s="200"/>
      <c r="L9" s="197" t="str">
        <f>IF(ISNA(MATCH(CONCATENATE(L$2,$A9),'Výsledková listina'!$R:$R,0)),"",INDEX('Výsledková listina'!$B:$B,MATCH(CONCATENATE(L$2,$A9),'Výsledková listina'!$R:$R,0),1))</f>
        <v>Konopásek Ladislav</v>
      </c>
      <c r="M9" s="176">
        <v>10920</v>
      </c>
      <c r="N9" s="198">
        <f t="shared" si="4"/>
        <v>4</v>
      </c>
      <c r="O9" s="199">
        <f t="shared" si="5"/>
        <v>4</v>
      </c>
      <c r="P9" s="200"/>
      <c r="Q9" s="197" t="str">
        <f>IF(ISNA(MATCH(CONCATENATE(Q$2,$A9),'Výsledková listina'!$R:$R,0)),"",INDEX('Výsledková listina'!$B:$B,MATCH(CONCATENATE(Q$2,$A9),'Výsledková listina'!$R:$R,0),1))</f>
        <v>Šetina Michal</v>
      </c>
      <c r="R9" s="176">
        <v>4880</v>
      </c>
      <c r="S9" s="198">
        <f t="shared" si="6"/>
        <v>5</v>
      </c>
      <c r="T9" s="199">
        <f t="shared" si="7"/>
        <v>5</v>
      </c>
      <c r="U9" s="200"/>
      <c r="V9" s="197" t="str">
        <f>IF(ISNA(MATCH(CONCATENATE(V$2,$A9),'Výsledková listina'!$R:$R,0)),"",INDEX('Výsledková listina'!$B:$B,MATCH(CONCATENATE(V$2,$A9),'Výsledková listina'!$R:$R,0),1))</f>
        <v>Lukášek Jakub</v>
      </c>
      <c r="W9" s="176">
        <v>3440</v>
      </c>
      <c r="X9" s="198">
        <f t="shared" si="8"/>
        <v>8</v>
      </c>
      <c r="Y9" s="199">
        <f t="shared" si="9"/>
        <v>8</v>
      </c>
      <c r="Z9" s="200"/>
      <c r="AA9" s="197" t="str">
        <f>IF(ISNA(MATCH(CONCATENATE(AA$2,$A9),'Výsledková listina'!$R:$R,0)),"",INDEX('Výsledková listina'!$B:$B,MATCH(CONCATENATE(AA$2,$A9),'Výsledková listina'!$R:$R,0),1))</f>
        <v>Fiala Michal </v>
      </c>
      <c r="AB9" s="176">
        <v>5020</v>
      </c>
      <c r="AC9" s="198">
        <f t="shared" si="10"/>
        <v>13</v>
      </c>
      <c r="AD9" s="199">
        <f t="shared" si="11"/>
        <v>13</v>
      </c>
      <c r="AE9" s="200"/>
      <c r="AF9" s="197" t="str">
        <f>IF(ISNA(MATCH(CONCATENATE(AF$2,$A9),'Výsledková listina'!$R:$R,0)),"",INDEX('Výsledková listina'!$B:$B,MATCH(CONCATENATE(AF$2,$A9),'Výsledková listina'!$R:$R,0),1))</f>
        <v>Řezáč Jan st.</v>
      </c>
      <c r="AG9" s="176">
        <v>13080</v>
      </c>
      <c r="AH9" s="198">
        <f t="shared" si="12"/>
        <v>5</v>
      </c>
      <c r="AI9" s="199">
        <f t="shared" si="13"/>
        <v>5</v>
      </c>
      <c r="AJ9" s="200"/>
      <c r="AK9" s="197" t="str">
        <f>IF(ISNA(MATCH(CONCATENATE(AK$2,$A9),'Výsledková listina'!$R:$R,0)),"",INDEX('Výsledková listina'!$B:$B,MATCH(CONCATENATE(AK$2,$A9),'Výsledková listina'!$R:$R,0),1))</f>
        <v>Lukášová Viktorie</v>
      </c>
      <c r="AL9" s="176">
        <v>2690</v>
      </c>
      <c r="AM9" s="198">
        <f t="shared" si="14"/>
        <v>13</v>
      </c>
      <c r="AN9" s="199">
        <f t="shared" si="15"/>
        <v>13</v>
      </c>
      <c r="AO9" s="200"/>
      <c r="AP9" s="197" t="str">
        <f>IF(ISNA(MATCH(CONCATENATE(AP$2,$A9),'Výsledková listina'!$R:$R,0)),"",INDEX('Výsledková listina'!$B:$B,MATCH(CONCATENATE(AP$2,$A9),'Výsledková listina'!$R:$R,0),1))</f>
        <v>Kuchař Petr</v>
      </c>
      <c r="AQ9" s="176">
        <v>7820</v>
      </c>
      <c r="AR9" s="198">
        <f t="shared" si="16"/>
        <v>12</v>
      </c>
      <c r="AS9" s="199">
        <f t="shared" si="17"/>
        <v>12</v>
      </c>
      <c r="AT9" s="200"/>
      <c r="AU9" s="197">
        <f>IF(ISNA(MATCH(CONCATENATE(AU$2,$A9),'Výsledková listina'!$R:$R,0)),"",INDEX('Výsledková listina'!$B:$B,MATCH(CONCATENATE(AU$2,$A9),'Výsledková listina'!$R:$R,0),1))</f>
      </c>
      <c r="AV9" s="176"/>
      <c r="AW9" s="198">
        <f t="shared" si="18"/>
      </c>
      <c r="AX9" s="199">
        <f t="shared" si="19"/>
      </c>
      <c r="AY9" s="200"/>
      <c r="AZ9" s="197">
        <f>IF(ISNA(MATCH(CONCATENATE(AZ$2,$A9),'Výsledková listina'!$R:$R,0)),"",INDEX('Výsledková listina'!$B:$B,MATCH(CONCATENATE(AZ$2,$A9),'Výsledková listina'!$R:$R,0),1))</f>
      </c>
      <c r="BA9" s="176"/>
      <c r="BB9" s="198">
        <f t="shared" si="20"/>
      </c>
      <c r="BC9" s="199">
        <f t="shared" si="21"/>
      </c>
      <c r="BD9" s="200"/>
      <c r="BE9" s="197">
        <f>IF(ISNA(MATCH(CONCATENATE(BE$2,$A9),'Výsledková listina'!$R:$R,0)),"",INDEX('Výsledková listina'!$B:$B,MATCH(CONCATENATE(BE$2,$A9),'Výsledková listina'!$R:$R,0),1))</f>
      </c>
      <c r="BF9" s="176"/>
      <c r="BG9" s="198">
        <f t="shared" si="22"/>
      </c>
      <c r="BH9" s="199">
        <f t="shared" si="23"/>
      </c>
      <c r="BI9" s="200"/>
      <c r="BJ9" s="197">
        <f>IF(ISNA(MATCH(CONCATENATE(BJ$2,$A9),'Výsledková listina'!$R:$R,0)),"",INDEX('Výsledková listina'!$B:$B,MATCH(CONCATENATE(BJ$2,$A9),'Výsledková listina'!$R:$R,0),1))</f>
      </c>
      <c r="BK9" s="176"/>
      <c r="BL9" s="198">
        <f t="shared" si="24"/>
      </c>
      <c r="BM9" s="199">
        <f t="shared" si="25"/>
      </c>
      <c r="BN9" s="200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</row>
    <row r="10" spans="1:137" s="202" customFormat="1" ht="34.5" customHeight="1">
      <c r="A10" s="203">
        <v>7</v>
      </c>
      <c r="B10" s="197" t="str">
        <f>IF(ISNA(MATCH(CONCATENATE(B$2,$A10),'Výsledková listina'!$R:$R,0)),"",INDEX('Výsledková listina'!$B:$B,MATCH(CONCATENATE(B$2,$A10),'Výsledková listina'!$R:$R,0),1))</f>
        <v>Pagáč Pavel</v>
      </c>
      <c r="C10" s="176">
        <v>8290</v>
      </c>
      <c r="D10" s="198">
        <f t="shared" si="0"/>
        <v>10</v>
      </c>
      <c r="E10" s="199">
        <f t="shared" si="1"/>
        <v>10</v>
      </c>
      <c r="F10" s="200"/>
      <c r="G10" s="197" t="str">
        <f>IF(ISNA(MATCH(CONCATENATE(G$2,$A10),'Výsledková listina'!$R:$R,0)),"",INDEX('Výsledková listina'!$B:$B,MATCH(CONCATENATE(G$2,$A10),'Výsledková listina'!$R:$R,0),1))</f>
        <v>Dvořák Dominik</v>
      </c>
      <c r="H10" s="176">
        <v>3440</v>
      </c>
      <c r="I10" s="198">
        <f t="shared" si="2"/>
        <v>11</v>
      </c>
      <c r="J10" s="199">
        <f t="shared" si="3"/>
        <v>11</v>
      </c>
      <c r="K10" s="200"/>
      <c r="L10" s="197" t="str">
        <f>IF(ISNA(MATCH(CONCATENATE(L$2,$A10),'Výsledková listina'!$R:$R,0)),"",INDEX('Výsledková listina'!$B:$B,MATCH(CONCATENATE(L$2,$A10),'Výsledková listina'!$R:$R,0),1))</f>
        <v>Stupka Jaroslav</v>
      </c>
      <c r="M10" s="176">
        <v>6460</v>
      </c>
      <c r="N10" s="198">
        <f t="shared" si="4"/>
        <v>6</v>
      </c>
      <c r="O10" s="199">
        <f t="shared" si="5"/>
        <v>6</v>
      </c>
      <c r="P10" s="200"/>
      <c r="Q10" s="197" t="str">
        <f>IF(ISNA(MATCH(CONCATENATE(Q$2,$A10),'Výsledková listina'!$R:$R,0)),"",INDEX('Výsledková listina'!$B:$B,MATCH(CONCATENATE(Q$2,$A10),'Výsledková listina'!$R:$R,0),1))</f>
        <v>Ondrušek Roman</v>
      </c>
      <c r="R10" s="176">
        <v>5000</v>
      </c>
      <c r="S10" s="198">
        <f t="shared" si="6"/>
        <v>4</v>
      </c>
      <c r="T10" s="199">
        <f t="shared" si="7"/>
        <v>4</v>
      </c>
      <c r="U10" s="200"/>
      <c r="V10" s="197" t="str">
        <f>IF(ISNA(MATCH(CONCATENATE(V$2,$A10),'Výsledková listina'!$R:$R,0)),"",INDEX('Výsledková listina'!$B:$B,MATCH(CONCATENATE(V$2,$A10),'Výsledková listina'!$R:$R,0),1))</f>
        <v>Špitálská Aneta</v>
      </c>
      <c r="W10" s="176">
        <v>1220</v>
      </c>
      <c r="X10" s="198">
        <f t="shared" si="8"/>
        <v>14</v>
      </c>
      <c r="Y10" s="199">
        <f t="shared" si="9"/>
        <v>14</v>
      </c>
      <c r="Z10" s="200"/>
      <c r="AA10" s="197" t="str">
        <f>IF(ISNA(MATCH(CONCATENATE(AA$2,$A10),'Výsledková listina'!$R:$R,0)),"",INDEX('Výsledková listina'!$B:$B,MATCH(CONCATENATE(AA$2,$A10),'Výsledková listina'!$R:$R,0),1))</f>
        <v>Čtverák Jaroslav</v>
      </c>
      <c r="AB10" s="176">
        <v>11520</v>
      </c>
      <c r="AC10" s="198">
        <f t="shared" si="10"/>
        <v>4</v>
      </c>
      <c r="AD10" s="199">
        <f t="shared" si="11"/>
        <v>4</v>
      </c>
      <c r="AE10" s="200"/>
      <c r="AF10" s="197" t="str">
        <f>IF(ISNA(MATCH(CONCATENATE(AF$2,$A10),'Výsledková listina'!$R:$R,0)),"",INDEX('Výsledková listina'!$B:$B,MATCH(CONCATENATE(AF$2,$A10),'Výsledková listina'!$R:$R,0),1))</f>
        <v>Škrobánek Michal</v>
      </c>
      <c r="AG10" s="176">
        <v>12430</v>
      </c>
      <c r="AH10" s="198">
        <f t="shared" si="12"/>
        <v>7</v>
      </c>
      <c r="AI10" s="199">
        <f t="shared" si="13"/>
        <v>7</v>
      </c>
      <c r="AJ10" s="200"/>
      <c r="AK10" s="197" t="str">
        <f>IF(ISNA(MATCH(CONCATENATE(AK$2,$A10),'Výsledková listina'!$R:$R,0)),"",INDEX('Výsledková listina'!$B:$B,MATCH(CONCATENATE(AK$2,$A10),'Výsledková listina'!$R:$R,0),1))</f>
        <v>Svoboda Jiři</v>
      </c>
      <c r="AL10" s="176">
        <v>6630</v>
      </c>
      <c r="AM10" s="198">
        <f t="shared" si="14"/>
        <v>11</v>
      </c>
      <c r="AN10" s="199">
        <f t="shared" si="15"/>
        <v>11</v>
      </c>
      <c r="AO10" s="200"/>
      <c r="AP10" s="197" t="str">
        <f>IF(ISNA(MATCH(CONCATENATE(AP$2,$A10),'Výsledková listina'!$R:$R,0)),"",INDEX('Výsledková listina'!$B:$B,MATCH(CONCATENATE(AP$2,$A10),'Výsledková listina'!$R:$R,0),1))</f>
        <v>Novák Zdeněk</v>
      </c>
      <c r="AQ10" s="176">
        <v>12340</v>
      </c>
      <c r="AR10" s="198">
        <f t="shared" si="16"/>
        <v>9</v>
      </c>
      <c r="AS10" s="199">
        <f t="shared" si="17"/>
        <v>9</v>
      </c>
      <c r="AT10" s="200"/>
      <c r="AU10" s="197">
        <f>IF(ISNA(MATCH(CONCATENATE(AU$2,$A10),'Výsledková listina'!$R:$R,0)),"",INDEX('Výsledková listina'!$B:$B,MATCH(CONCATENATE(AU$2,$A10),'Výsledková listina'!$R:$R,0),1))</f>
      </c>
      <c r="AV10" s="176"/>
      <c r="AW10" s="198">
        <f t="shared" si="18"/>
      </c>
      <c r="AX10" s="199">
        <f t="shared" si="19"/>
      </c>
      <c r="AY10" s="200"/>
      <c r="AZ10" s="197">
        <f>IF(ISNA(MATCH(CONCATENATE(AZ$2,$A10),'Výsledková listina'!$R:$R,0)),"",INDEX('Výsledková listina'!$B:$B,MATCH(CONCATENATE(AZ$2,$A10),'Výsledková listina'!$R:$R,0),1))</f>
      </c>
      <c r="BA10" s="176"/>
      <c r="BB10" s="198">
        <f t="shared" si="20"/>
      </c>
      <c r="BC10" s="199">
        <f t="shared" si="21"/>
      </c>
      <c r="BD10" s="200"/>
      <c r="BE10" s="197">
        <f>IF(ISNA(MATCH(CONCATENATE(BE$2,$A10),'Výsledková listina'!$R:$R,0)),"",INDEX('Výsledková listina'!$B:$B,MATCH(CONCATENATE(BE$2,$A10),'Výsledková listina'!$R:$R,0),1))</f>
      </c>
      <c r="BF10" s="176"/>
      <c r="BG10" s="198">
        <f t="shared" si="22"/>
      </c>
      <c r="BH10" s="199">
        <f t="shared" si="23"/>
      </c>
      <c r="BI10" s="200"/>
      <c r="BJ10" s="197">
        <f>IF(ISNA(MATCH(CONCATENATE(BJ$2,$A10),'Výsledková listina'!$R:$R,0)),"",INDEX('Výsledková listina'!$B:$B,MATCH(CONCATENATE(BJ$2,$A10),'Výsledková listina'!$R:$R,0),1))</f>
      </c>
      <c r="BK10" s="176"/>
      <c r="BL10" s="198">
        <f t="shared" si="24"/>
      </c>
      <c r="BM10" s="199">
        <f t="shared" si="25"/>
      </c>
      <c r="BN10" s="200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</row>
    <row r="11" spans="1:137" s="202" customFormat="1" ht="34.5" customHeight="1">
      <c r="A11" s="203">
        <v>8</v>
      </c>
      <c r="B11" s="197" t="str">
        <f>IF(ISNA(MATCH(CONCATENATE(B$2,$A11),'Výsledková listina'!$R:$R,0)),"",INDEX('Výsledková listina'!$B:$B,MATCH(CONCATENATE(B$2,$A11),'Výsledková listina'!$R:$R,0),1))</f>
        <v>Řípa Aleš</v>
      </c>
      <c r="C11" s="176">
        <v>5450</v>
      </c>
      <c r="D11" s="198">
        <f t="shared" si="0"/>
        <v>12</v>
      </c>
      <c r="E11" s="199">
        <f t="shared" si="1"/>
        <v>12</v>
      </c>
      <c r="F11" s="200"/>
      <c r="G11" s="197" t="str">
        <f>IF(ISNA(MATCH(CONCATENATE(G$2,$A11),'Výsledková listina'!$R:$R,0)),"",INDEX('Výsledková listina'!$B:$B,MATCH(CONCATENATE(G$2,$A11),'Výsledková listina'!$R:$R,0),1))</f>
        <v>Zoul Artur</v>
      </c>
      <c r="H11" s="176">
        <v>540</v>
      </c>
      <c r="I11" s="198">
        <f t="shared" si="2"/>
        <v>14</v>
      </c>
      <c r="J11" s="199">
        <f t="shared" si="3"/>
        <v>14</v>
      </c>
      <c r="K11" s="200"/>
      <c r="L11" s="197" t="str">
        <f>IF(ISNA(MATCH(CONCATENATE(L$2,$A11),'Výsledková listina'!$R:$R,0)),"",INDEX('Výsledková listina'!$B:$B,MATCH(CONCATENATE(L$2,$A11),'Výsledková listina'!$R:$R,0),1))</f>
        <v>Brzobohatý Jan</v>
      </c>
      <c r="M11" s="176">
        <v>4060</v>
      </c>
      <c r="N11" s="198">
        <f t="shared" si="4"/>
        <v>12</v>
      </c>
      <c r="O11" s="199">
        <f t="shared" si="5"/>
        <v>12</v>
      </c>
      <c r="P11" s="200"/>
      <c r="Q11" s="197" t="str">
        <f>IF(ISNA(MATCH(CONCATENATE(Q$2,$A11),'Výsledková listina'!$R:$R,0)),"",INDEX('Výsledková listina'!$B:$B,MATCH(CONCATENATE(Q$2,$A11),'Výsledková listina'!$R:$R,0),1))</f>
        <v>Paulovič Marek</v>
      </c>
      <c r="R11" s="176">
        <v>420</v>
      </c>
      <c r="S11" s="198">
        <f t="shared" si="6"/>
        <v>15</v>
      </c>
      <c r="T11" s="199">
        <f t="shared" si="7"/>
        <v>15</v>
      </c>
      <c r="U11" s="200"/>
      <c r="V11" s="197" t="str">
        <f>IF(ISNA(MATCH(CONCATENATE(V$2,$A11),'Výsledková listina'!$R:$R,0)),"",INDEX('Výsledková listina'!$B:$B,MATCH(CONCATENATE(V$2,$A11),'Výsledková listina'!$R:$R,0),1))</f>
        <v>Varga Ladislav</v>
      </c>
      <c r="W11" s="176">
        <v>2660</v>
      </c>
      <c r="X11" s="198">
        <f t="shared" si="8"/>
        <v>9</v>
      </c>
      <c r="Y11" s="199">
        <f t="shared" si="9"/>
        <v>9</v>
      </c>
      <c r="Z11" s="200"/>
      <c r="AA11" s="197" t="str">
        <f>IF(ISNA(MATCH(CONCATENATE(AA$2,$A11),'Výsledková listina'!$R:$R,0)),"",INDEX('Výsledková listina'!$B:$B,MATCH(CONCATENATE(AA$2,$A11),'Výsledková listina'!$R:$R,0),1))</f>
        <v>Kortiš Ladislav</v>
      </c>
      <c r="AB11" s="176">
        <v>10290</v>
      </c>
      <c r="AC11" s="198">
        <f t="shared" si="10"/>
        <v>5</v>
      </c>
      <c r="AD11" s="199">
        <f t="shared" si="11"/>
        <v>5</v>
      </c>
      <c r="AE11" s="200"/>
      <c r="AF11" s="197" t="str">
        <f>IF(ISNA(MATCH(CONCATENATE(AF$2,$A11),'Výsledková listina'!$R:$R,0)),"",INDEX('Výsledková listina'!$B:$B,MATCH(CONCATENATE(AF$2,$A11),'Výsledková listina'!$R:$R,0),1))</f>
        <v>Oliva Vladimír</v>
      </c>
      <c r="AG11" s="176">
        <v>9710</v>
      </c>
      <c r="AH11" s="198">
        <f t="shared" si="12"/>
        <v>10</v>
      </c>
      <c r="AI11" s="199">
        <f t="shared" si="13"/>
        <v>10</v>
      </c>
      <c r="AJ11" s="200"/>
      <c r="AK11" s="197" t="str">
        <f>IF(ISNA(MATCH(CONCATENATE(AK$2,$A11),'Výsledková listina'!$R:$R,0)),"",INDEX('Výsledková listina'!$B:$B,MATCH(CONCATENATE(AK$2,$A11),'Výsledková listina'!$R:$R,0),1))</f>
        <v>Holčák Radek</v>
      </c>
      <c r="AL11" s="176">
        <v>16470</v>
      </c>
      <c r="AM11" s="198">
        <f t="shared" si="14"/>
        <v>2</v>
      </c>
      <c r="AN11" s="199">
        <f t="shared" si="15"/>
        <v>2</v>
      </c>
      <c r="AO11" s="200"/>
      <c r="AP11" s="197" t="str">
        <f>IF(ISNA(MATCH(CONCATENATE(AP$2,$A11),'Výsledková listina'!$R:$R,0)),"",INDEX('Výsledková listina'!$B:$B,MATCH(CONCATENATE(AP$2,$A11),'Výsledková listina'!$R:$R,0),1))</f>
        <v>Man Lukáš </v>
      </c>
      <c r="AQ11" s="176">
        <v>12410</v>
      </c>
      <c r="AR11" s="198">
        <f t="shared" si="16"/>
        <v>7</v>
      </c>
      <c r="AS11" s="199">
        <f t="shared" si="17"/>
        <v>7</v>
      </c>
      <c r="AT11" s="200"/>
      <c r="AU11" s="197">
        <f>IF(ISNA(MATCH(CONCATENATE(AU$2,$A11),'Výsledková listina'!$R:$R,0)),"",INDEX('Výsledková listina'!$B:$B,MATCH(CONCATENATE(AU$2,$A11),'Výsledková listina'!$R:$R,0),1))</f>
      </c>
      <c r="AV11" s="176"/>
      <c r="AW11" s="198">
        <f t="shared" si="18"/>
      </c>
      <c r="AX11" s="199">
        <f t="shared" si="19"/>
      </c>
      <c r="AY11" s="200"/>
      <c r="AZ11" s="197">
        <f>IF(ISNA(MATCH(CONCATENATE(AZ$2,$A11),'Výsledková listina'!$R:$R,0)),"",INDEX('Výsledková listina'!$B:$B,MATCH(CONCATENATE(AZ$2,$A11),'Výsledková listina'!$R:$R,0),1))</f>
      </c>
      <c r="BA11" s="176"/>
      <c r="BB11" s="198">
        <f t="shared" si="20"/>
      </c>
      <c r="BC11" s="199">
        <f t="shared" si="21"/>
      </c>
      <c r="BD11" s="200"/>
      <c r="BE11" s="197">
        <f>IF(ISNA(MATCH(CONCATENATE(BE$2,$A11),'Výsledková listina'!$R:$R,0)),"",INDEX('Výsledková listina'!$B:$B,MATCH(CONCATENATE(BE$2,$A11),'Výsledková listina'!$R:$R,0),1))</f>
      </c>
      <c r="BF11" s="176"/>
      <c r="BG11" s="198">
        <f t="shared" si="22"/>
      </c>
      <c r="BH11" s="199">
        <f t="shared" si="23"/>
      </c>
      <c r="BI11" s="200"/>
      <c r="BJ11" s="197">
        <f>IF(ISNA(MATCH(CONCATENATE(BJ$2,$A11),'Výsledková listina'!$R:$R,0)),"",INDEX('Výsledková listina'!$B:$B,MATCH(CONCATENATE(BJ$2,$A11),'Výsledková listina'!$R:$R,0),1))</f>
      </c>
      <c r="BK11" s="176"/>
      <c r="BL11" s="198">
        <f t="shared" si="24"/>
      </c>
      <c r="BM11" s="199">
        <f t="shared" si="25"/>
      </c>
      <c r="BN11" s="200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</row>
    <row r="12" spans="1:137" s="202" customFormat="1" ht="34.5" customHeight="1">
      <c r="A12" s="203">
        <v>9</v>
      </c>
      <c r="B12" s="197" t="str">
        <f>IF(ISNA(MATCH(CONCATENATE(B$2,$A12),'Výsledková listina'!$R:$R,0)),"",INDEX('Výsledková listina'!$B:$B,MATCH(CONCATENATE(B$2,$A12),'Výsledková listina'!$R:$R,0),1))</f>
        <v>Černý Tomáš st.</v>
      </c>
      <c r="C12" s="176">
        <v>13450</v>
      </c>
      <c r="D12" s="198">
        <f t="shared" si="0"/>
        <v>2</v>
      </c>
      <c r="E12" s="199">
        <f t="shared" si="1"/>
        <v>2</v>
      </c>
      <c r="F12" s="200"/>
      <c r="G12" s="197" t="str">
        <f>IF(ISNA(MATCH(CONCATENATE(G$2,$A12),'Výsledková listina'!$R:$R,0)),"",INDEX('Výsledková listina'!$B:$B,MATCH(CONCATENATE(G$2,$A12),'Výsledková listina'!$R:$R,0),1))</f>
        <v>Douša Jan</v>
      </c>
      <c r="H12" s="176">
        <v>7660</v>
      </c>
      <c r="I12" s="198">
        <f t="shared" si="2"/>
        <v>4</v>
      </c>
      <c r="J12" s="199">
        <f t="shared" si="3"/>
        <v>4</v>
      </c>
      <c r="K12" s="200"/>
      <c r="L12" s="197" t="str">
        <f>IF(ISNA(MATCH(CONCATENATE(L$2,$A12),'Výsledková listina'!$R:$R,0)),"",INDEX('Výsledková listina'!$B:$B,MATCH(CONCATENATE(L$2,$A12),'Výsledková listina'!$R:$R,0),1))</f>
        <v>Špitálský Václav ml.</v>
      </c>
      <c r="M12" s="176">
        <v>10</v>
      </c>
      <c r="N12" s="198">
        <f t="shared" si="4"/>
        <v>15</v>
      </c>
      <c r="O12" s="199">
        <f t="shared" si="5"/>
        <v>15</v>
      </c>
      <c r="P12" s="200"/>
      <c r="Q12" s="197" t="str">
        <f>IF(ISNA(MATCH(CONCATENATE(Q$2,$A12),'Výsledková listina'!$R:$R,0)),"",INDEX('Výsledková listina'!$B:$B,MATCH(CONCATENATE(Q$2,$A12),'Výsledková listina'!$R:$R,0),1))</f>
        <v>Šmitmajer Marek</v>
      </c>
      <c r="R12" s="176">
        <v>620</v>
      </c>
      <c r="S12" s="198">
        <f t="shared" si="6"/>
        <v>14</v>
      </c>
      <c r="T12" s="199">
        <f t="shared" si="7"/>
        <v>14</v>
      </c>
      <c r="U12" s="200"/>
      <c r="V12" s="197" t="str">
        <f>IF(ISNA(MATCH(CONCATENATE(V$2,$A12),'Výsledková listina'!$R:$R,0)),"",INDEX('Výsledková listina'!$B:$B,MATCH(CONCATENATE(V$2,$A12),'Výsledková listina'!$R:$R,0),1))</f>
        <v>Plzák Karel</v>
      </c>
      <c r="W12" s="176">
        <v>6820</v>
      </c>
      <c r="X12" s="198">
        <f t="shared" si="8"/>
        <v>4</v>
      </c>
      <c r="Y12" s="199">
        <f t="shared" si="9"/>
        <v>4</v>
      </c>
      <c r="Z12" s="200"/>
      <c r="AA12" s="197" t="str">
        <f>IF(ISNA(MATCH(CONCATENATE(AA$2,$A12),'Výsledková listina'!$R:$R,0)),"",INDEX('Výsledková listina'!$B:$B,MATCH(CONCATENATE(AA$2,$A12),'Výsledková listina'!$R:$R,0),1))</f>
        <v>Krýsl Pavel</v>
      </c>
      <c r="AB12" s="176">
        <v>5050</v>
      </c>
      <c r="AC12" s="198">
        <f t="shared" si="10"/>
        <v>12</v>
      </c>
      <c r="AD12" s="199">
        <f t="shared" si="11"/>
        <v>12</v>
      </c>
      <c r="AE12" s="200"/>
      <c r="AF12" s="197" t="str">
        <f>IF(ISNA(MATCH(CONCATENATE(AF$2,$A12),'Výsledková listina'!$R:$R,0)),"",INDEX('Výsledková listina'!$B:$B,MATCH(CONCATENATE(AF$2,$A12),'Výsledková listina'!$R:$R,0),1))</f>
        <v>Šitina Josef</v>
      </c>
      <c r="AG12" s="176">
        <v>14410</v>
      </c>
      <c r="AH12" s="198">
        <f t="shared" si="12"/>
        <v>3</v>
      </c>
      <c r="AI12" s="199">
        <f t="shared" si="13"/>
        <v>3</v>
      </c>
      <c r="AJ12" s="200"/>
      <c r="AK12" s="197" t="str">
        <f>IF(ISNA(MATCH(CONCATENATE(AK$2,$A12),'Výsledková listina'!$R:$R,0)),"",INDEX('Výsledková listina'!$B:$B,MATCH(CONCATENATE(AK$2,$A12),'Výsledková listina'!$R:$R,0),1))</f>
        <v>Rada Milan</v>
      </c>
      <c r="AL12" s="176">
        <v>7610</v>
      </c>
      <c r="AM12" s="198">
        <f t="shared" si="14"/>
        <v>9</v>
      </c>
      <c r="AN12" s="199">
        <f t="shared" si="15"/>
        <v>9.5</v>
      </c>
      <c r="AO12" s="200"/>
      <c r="AP12" s="197" t="str">
        <f>IF(ISNA(MATCH(CONCATENATE(AP$2,$A12),'Výsledková listina'!$R:$R,0)),"",INDEX('Výsledková listina'!$B:$B,MATCH(CONCATENATE(AP$2,$A12),'Výsledková listina'!$R:$R,0),1))</f>
        <v>Pecka Zdeněk</v>
      </c>
      <c r="AQ12" s="176">
        <v>19060</v>
      </c>
      <c r="AR12" s="198">
        <f t="shared" si="16"/>
        <v>3</v>
      </c>
      <c r="AS12" s="199">
        <f t="shared" si="17"/>
        <v>3</v>
      </c>
      <c r="AT12" s="200"/>
      <c r="AU12" s="197">
        <f>IF(ISNA(MATCH(CONCATENATE(AU$2,$A12),'Výsledková listina'!$R:$R,0)),"",INDEX('Výsledková listina'!$B:$B,MATCH(CONCATENATE(AU$2,$A12),'Výsledková listina'!$R:$R,0),1))</f>
      </c>
      <c r="AV12" s="176"/>
      <c r="AW12" s="198">
        <f t="shared" si="18"/>
      </c>
      <c r="AX12" s="199">
        <f t="shared" si="19"/>
      </c>
      <c r="AY12" s="200"/>
      <c r="AZ12" s="197">
        <f>IF(ISNA(MATCH(CONCATENATE(AZ$2,$A12),'Výsledková listina'!$R:$R,0)),"",INDEX('Výsledková listina'!$B:$B,MATCH(CONCATENATE(AZ$2,$A12),'Výsledková listina'!$R:$R,0),1))</f>
      </c>
      <c r="BA12" s="176"/>
      <c r="BB12" s="198">
        <f t="shared" si="20"/>
      </c>
      <c r="BC12" s="199">
        <f t="shared" si="21"/>
      </c>
      <c r="BD12" s="200"/>
      <c r="BE12" s="197">
        <f>IF(ISNA(MATCH(CONCATENATE(BE$2,$A12),'Výsledková listina'!$R:$R,0)),"",INDEX('Výsledková listina'!$B:$B,MATCH(CONCATENATE(BE$2,$A12),'Výsledková listina'!$R:$R,0),1))</f>
      </c>
      <c r="BF12" s="176"/>
      <c r="BG12" s="198">
        <f t="shared" si="22"/>
      </c>
      <c r="BH12" s="199">
        <f t="shared" si="23"/>
      </c>
      <c r="BI12" s="200"/>
      <c r="BJ12" s="197">
        <f>IF(ISNA(MATCH(CONCATENATE(BJ$2,$A12),'Výsledková listina'!$R:$R,0)),"",INDEX('Výsledková listina'!$B:$B,MATCH(CONCATENATE(BJ$2,$A12),'Výsledková listina'!$R:$R,0),1))</f>
      </c>
      <c r="BK12" s="176"/>
      <c r="BL12" s="198">
        <f t="shared" si="24"/>
      </c>
      <c r="BM12" s="199">
        <f t="shared" si="25"/>
      </c>
      <c r="BN12" s="200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</row>
    <row r="13" spans="1:137" s="202" customFormat="1" ht="34.5" customHeight="1">
      <c r="A13" s="203">
        <v>10</v>
      </c>
      <c r="B13" s="197" t="str">
        <f>IF(ISNA(MATCH(CONCATENATE(B$2,$A13),'Výsledková listina'!$R:$R,0)),"",INDEX('Výsledková listina'!$B:$B,MATCH(CONCATENATE(B$2,$A13),'Výsledková listina'!$R:$R,0),1))</f>
        <v>Peterka Jaroslav</v>
      </c>
      <c r="C13" s="176">
        <v>6670</v>
      </c>
      <c r="D13" s="198">
        <f t="shared" si="0"/>
        <v>11</v>
      </c>
      <c r="E13" s="199">
        <f t="shared" si="1"/>
        <v>11</v>
      </c>
      <c r="F13" s="200"/>
      <c r="G13" s="197" t="str">
        <f>IF(ISNA(MATCH(CONCATENATE(G$2,$A13),'Výsledková listina'!$R:$R,0)),"",INDEX('Výsledková listina'!$B:$B,MATCH(CONCATENATE(G$2,$A13),'Výsledková listina'!$R:$R,0),1))</f>
        <v>Řehoř Michal</v>
      </c>
      <c r="H13" s="176">
        <v>520</v>
      </c>
      <c r="I13" s="198">
        <f t="shared" si="2"/>
        <v>15</v>
      </c>
      <c r="J13" s="199">
        <f t="shared" si="3"/>
        <v>15</v>
      </c>
      <c r="K13" s="200"/>
      <c r="L13" s="197" t="str">
        <f>IF(ISNA(MATCH(CONCATENATE(L$2,$A13),'Výsledková listina'!$R:$R,0)),"",INDEX('Výsledková listina'!$B:$B,MATCH(CONCATENATE(L$2,$A13),'Výsledková listina'!$R:$R,0),1))</f>
        <v>Poskočil Petr</v>
      </c>
      <c r="M13" s="176">
        <v>5910</v>
      </c>
      <c r="N13" s="198">
        <f t="shared" si="4"/>
        <v>8</v>
      </c>
      <c r="O13" s="199">
        <f t="shared" si="5"/>
        <v>8</v>
      </c>
      <c r="P13" s="200"/>
      <c r="Q13" s="197" t="str">
        <f>IF(ISNA(MATCH(CONCATENATE(Q$2,$A13),'Výsledková listina'!$R:$R,0)),"",INDEX('Výsledková listina'!$B:$B,MATCH(CONCATENATE(Q$2,$A13),'Výsledková listina'!$R:$R,0),1))</f>
        <v>Řezáč Jan ml.</v>
      </c>
      <c r="R13" s="176">
        <v>1440</v>
      </c>
      <c r="S13" s="198">
        <f t="shared" si="6"/>
        <v>12</v>
      </c>
      <c r="T13" s="199">
        <f t="shared" si="7"/>
        <v>12</v>
      </c>
      <c r="U13" s="200"/>
      <c r="V13" s="197" t="str">
        <f>IF(ISNA(MATCH(CONCATENATE(V$2,$A13),'Výsledková listina'!$R:$R,0)),"",INDEX('Výsledková listina'!$B:$B,MATCH(CONCATENATE(V$2,$A13),'Výsledková listina'!$R:$R,0),1))</f>
        <v>Sičák Pavel</v>
      </c>
      <c r="W13" s="176">
        <v>10980</v>
      </c>
      <c r="X13" s="198">
        <f t="shared" si="8"/>
        <v>3</v>
      </c>
      <c r="Y13" s="199">
        <f t="shared" si="9"/>
        <v>3</v>
      </c>
      <c r="Z13" s="200"/>
      <c r="AA13" s="197" t="str">
        <f>IF(ISNA(MATCH(CONCATENATE(AA$2,$A13),'Výsledková listina'!$R:$R,0)),"",INDEX('Výsledková listina'!$B:$B,MATCH(CONCATENATE(AA$2,$A13),'Výsledková listina'!$R:$R,0),1))</f>
        <v>Procházka Matyáš</v>
      </c>
      <c r="AB13" s="176">
        <v>8350</v>
      </c>
      <c r="AC13" s="198">
        <f t="shared" si="10"/>
        <v>8</v>
      </c>
      <c r="AD13" s="199">
        <f t="shared" si="11"/>
        <v>8</v>
      </c>
      <c r="AE13" s="200"/>
      <c r="AF13" s="197" t="str">
        <f>IF(ISNA(MATCH(CONCATENATE(AF$2,$A13),'Výsledková listina'!$R:$R,0)),"",INDEX('Výsledková listina'!$B:$B,MATCH(CONCATENATE(AF$2,$A13),'Výsledková listina'!$R:$R,0),1))</f>
        <v>Kapusta Lukáš</v>
      </c>
      <c r="AG13" s="176">
        <v>13460</v>
      </c>
      <c r="AH13" s="198">
        <f t="shared" si="12"/>
        <v>4</v>
      </c>
      <c r="AI13" s="199">
        <f t="shared" si="13"/>
        <v>4</v>
      </c>
      <c r="AJ13" s="200"/>
      <c r="AK13" s="197" t="str">
        <f>IF(ISNA(MATCH(CONCATENATE(AK$2,$A13),'Výsledková listina'!$R:$R,0)),"",INDEX('Výsledková listina'!$B:$B,MATCH(CONCATENATE(AK$2,$A13),'Výsledková listina'!$R:$R,0),1))</f>
        <v>Tomšík Jan</v>
      </c>
      <c r="AL13" s="176">
        <v>15300</v>
      </c>
      <c r="AM13" s="198">
        <f t="shared" si="14"/>
        <v>3</v>
      </c>
      <c r="AN13" s="199">
        <f t="shared" si="15"/>
        <v>3</v>
      </c>
      <c r="AO13" s="200"/>
      <c r="AP13" s="197" t="str">
        <f>IF(ISNA(MATCH(CONCATENATE(AP$2,$A13),'Výsledková listina'!$R:$R,0)),"",INDEX('Výsledková listina'!$B:$B,MATCH(CONCATENATE(AP$2,$A13),'Výsledková listina'!$R:$R,0),1))</f>
        <v>Hejda Richard</v>
      </c>
      <c r="AQ13" s="176">
        <v>14020</v>
      </c>
      <c r="AR13" s="198">
        <f t="shared" si="16"/>
        <v>5</v>
      </c>
      <c r="AS13" s="199">
        <f t="shared" si="17"/>
        <v>5</v>
      </c>
      <c r="AT13" s="200"/>
      <c r="AU13" s="197">
        <f>IF(ISNA(MATCH(CONCATENATE(AU$2,$A13),'Výsledková listina'!$R:$R,0)),"",INDEX('Výsledková listina'!$B:$B,MATCH(CONCATENATE(AU$2,$A13),'Výsledková listina'!$R:$R,0),1))</f>
      </c>
      <c r="AV13" s="176"/>
      <c r="AW13" s="198">
        <f t="shared" si="18"/>
      </c>
      <c r="AX13" s="199">
        <f t="shared" si="19"/>
      </c>
      <c r="AY13" s="200"/>
      <c r="AZ13" s="197">
        <f>IF(ISNA(MATCH(CONCATENATE(AZ$2,$A13),'Výsledková listina'!$R:$R,0)),"",INDEX('Výsledková listina'!$B:$B,MATCH(CONCATENATE(AZ$2,$A13),'Výsledková listina'!$R:$R,0),1))</f>
      </c>
      <c r="BA13" s="176"/>
      <c r="BB13" s="198">
        <f t="shared" si="20"/>
      </c>
      <c r="BC13" s="199">
        <f t="shared" si="21"/>
      </c>
      <c r="BD13" s="200"/>
      <c r="BE13" s="197">
        <f>IF(ISNA(MATCH(CONCATENATE(BE$2,$A13),'Výsledková listina'!$R:$R,0)),"",INDEX('Výsledková listina'!$B:$B,MATCH(CONCATENATE(BE$2,$A13),'Výsledková listina'!$R:$R,0),1))</f>
      </c>
      <c r="BF13" s="176"/>
      <c r="BG13" s="198">
        <f t="shared" si="22"/>
      </c>
      <c r="BH13" s="199">
        <f t="shared" si="23"/>
      </c>
      <c r="BI13" s="200"/>
      <c r="BJ13" s="197">
        <f>IF(ISNA(MATCH(CONCATENATE(BJ$2,$A13),'Výsledková listina'!$R:$R,0)),"",INDEX('Výsledková listina'!$B:$B,MATCH(CONCATENATE(BJ$2,$A13),'Výsledková listina'!$R:$R,0),1))</f>
      </c>
      <c r="BK13" s="176"/>
      <c r="BL13" s="198">
        <f t="shared" si="24"/>
      </c>
      <c r="BM13" s="199">
        <f t="shared" si="25"/>
      </c>
      <c r="BN13" s="200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</row>
    <row r="14" spans="1:137" s="202" customFormat="1" ht="34.5" customHeight="1">
      <c r="A14" s="203">
        <v>11</v>
      </c>
      <c r="B14" s="197" t="str">
        <f>IF(ISNA(MATCH(CONCATENATE(B$2,$A14),'Výsledková listina'!$R:$R,0)),"",INDEX('Výsledková listina'!$B:$B,MATCH(CONCATENATE(B$2,$A14),'Výsledková listina'!$R:$R,0),1))</f>
        <v>Sigmund David</v>
      </c>
      <c r="C14" s="176">
        <v>2140</v>
      </c>
      <c r="D14" s="198">
        <f t="shared" si="0"/>
        <v>14</v>
      </c>
      <c r="E14" s="199">
        <f t="shared" si="1"/>
        <v>14</v>
      </c>
      <c r="F14" s="200"/>
      <c r="G14" s="197" t="str">
        <f>IF(ISNA(MATCH(CONCATENATE(G$2,$A14),'Výsledková listina'!$R:$R,0)),"",INDEX('Výsledková listina'!$B:$B,MATCH(CONCATENATE(G$2,$A14),'Výsledková listina'!$R:$R,0),1))</f>
        <v>Král Víťa ml.</v>
      </c>
      <c r="H14" s="176">
        <v>4330</v>
      </c>
      <c r="I14" s="198">
        <f t="shared" si="2"/>
        <v>7</v>
      </c>
      <c r="J14" s="199">
        <f t="shared" si="3"/>
        <v>7</v>
      </c>
      <c r="K14" s="200"/>
      <c r="L14" s="197" t="str">
        <f>IF(ISNA(MATCH(CONCATENATE(L$2,$A14),'Výsledková listina'!$R:$R,0)),"",INDEX('Výsledková listina'!$B:$B,MATCH(CONCATENATE(L$2,$A14),'Výsledková listina'!$R:$R,0),1))</f>
        <v>Vik Marek</v>
      </c>
      <c r="M14" s="176">
        <v>7860</v>
      </c>
      <c r="N14" s="198">
        <f t="shared" si="4"/>
        <v>5</v>
      </c>
      <c r="O14" s="199">
        <f t="shared" si="5"/>
        <v>5</v>
      </c>
      <c r="P14" s="200"/>
      <c r="Q14" s="197" t="str">
        <f>IF(ISNA(MATCH(CONCATENATE(Q$2,$A14),'Výsledková listina'!$R:$R,0)),"",INDEX('Výsledková listina'!$B:$B,MATCH(CONCATENATE(Q$2,$A14),'Výsledková listina'!$R:$R,0),1))</f>
        <v>Pechalová Andrea</v>
      </c>
      <c r="R14" s="176">
        <v>1400</v>
      </c>
      <c r="S14" s="198">
        <f t="shared" si="6"/>
        <v>13</v>
      </c>
      <c r="T14" s="199">
        <f t="shared" si="7"/>
        <v>13</v>
      </c>
      <c r="U14" s="200"/>
      <c r="V14" s="197" t="str">
        <f>IF(ISNA(MATCH(CONCATENATE(V$2,$A14),'Výsledková listina'!$R:$R,0)),"",INDEX('Výsledková listina'!$B:$B,MATCH(CONCATENATE(V$2,$A14),'Výsledková listina'!$R:$R,0),1))</f>
        <v>Králová Nela</v>
      </c>
      <c r="W14" s="176">
        <v>1560</v>
      </c>
      <c r="X14" s="198">
        <f t="shared" si="8"/>
        <v>13</v>
      </c>
      <c r="Y14" s="199">
        <f t="shared" si="9"/>
        <v>13</v>
      </c>
      <c r="Z14" s="200"/>
      <c r="AA14" s="197" t="str">
        <f>IF(ISNA(MATCH(CONCATENATE(AA$2,$A14),'Výsledková listina'!$R:$R,0)),"",INDEX('Výsledková listina'!$B:$B,MATCH(CONCATENATE(AA$2,$A14),'Výsledková listina'!$R:$R,0),1))</f>
        <v>Vydra Filip</v>
      </c>
      <c r="AB14" s="176">
        <v>11820</v>
      </c>
      <c r="AC14" s="198">
        <f t="shared" si="10"/>
        <v>2</v>
      </c>
      <c r="AD14" s="199">
        <f t="shared" si="11"/>
        <v>2</v>
      </c>
      <c r="AE14" s="200"/>
      <c r="AF14" s="197" t="str">
        <f>IF(ISNA(MATCH(CONCATENATE(AF$2,$A14),'Výsledková listina'!$R:$R,0)),"",INDEX('Výsledková listina'!$B:$B,MATCH(CONCATENATE(AF$2,$A14),'Výsledková listina'!$R:$R,0),1))</f>
        <v>Halíř Lukáš</v>
      </c>
      <c r="AG14" s="176">
        <v>16470</v>
      </c>
      <c r="AH14" s="198">
        <f t="shared" si="12"/>
        <v>2</v>
      </c>
      <c r="AI14" s="199">
        <f t="shared" si="13"/>
        <v>2</v>
      </c>
      <c r="AJ14" s="200"/>
      <c r="AK14" s="197" t="str">
        <f>IF(ISNA(MATCH(CONCATENATE(AK$2,$A14),'Výsledková listina'!$R:$R,0)),"",INDEX('Výsledková listina'!$B:$B,MATCH(CONCATENATE(AK$2,$A14),'Výsledková listina'!$R:$R,0),1))</f>
        <v>Zavřel Jan</v>
      </c>
      <c r="AL14" s="176">
        <v>25700</v>
      </c>
      <c r="AM14" s="198">
        <f t="shared" si="14"/>
        <v>1</v>
      </c>
      <c r="AN14" s="199">
        <f t="shared" si="15"/>
        <v>1</v>
      </c>
      <c r="AO14" s="200"/>
      <c r="AP14" s="197" t="str">
        <f>IF(ISNA(MATCH(CONCATENATE(AP$2,$A14),'Výsledková listina'!$R:$R,0)),"",INDEX('Výsledková listina'!$B:$B,MATCH(CONCATENATE(AP$2,$A14),'Výsledková listina'!$R:$R,0),1))</f>
        <v>Nerad Rostislav</v>
      </c>
      <c r="AQ14" s="176">
        <v>16830</v>
      </c>
      <c r="AR14" s="198">
        <f t="shared" si="16"/>
        <v>4</v>
      </c>
      <c r="AS14" s="199">
        <f t="shared" si="17"/>
        <v>4</v>
      </c>
      <c r="AT14" s="200"/>
      <c r="AU14" s="197">
        <f>IF(ISNA(MATCH(CONCATENATE(AU$2,$A14),'Výsledková listina'!$R:$R,0)),"",INDEX('Výsledková listina'!$B:$B,MATCH(CONCATENATE(AU$2,$A14),'Výsledková listina'!$R:$R,0),1))</f>
      </c>
      <c r="AV14" s="176"/>
      <c r="AW14" s="198">
        <f t="shared" si="18"/>
      </c>
      <c r="AX14" s="199">
        <f t="shared" si="19"/>
      </c>
      <c r="AY14" s="200"/>
      <c r="AZ14" s="197">
        <f>IF(ISNA(MATCH(CONCATENATE(AZ$2,$A14),'Výsledková listina'!$R:$R,0)),"",INDEX('Výsledková listina'!$B:$B,MATCH(CONCATENATE(AZ$2,$A14),'Výsledková listina'!$R:$R,0),1))</f>
      </c>
      <c r="BA14" s="176"/>
      <c r="BB14" s="198">
        <f t="shared" si="20"/>
      </c>
      <c r="BC14" s="199">
        <f t="shared" si="21"/>
      </c>
      <c r="BD14" s="200"/>
      <c r="BE14" s="197">
        <f>IF(ISNA(MATCH(CONCATENATE(BE$2,$A14),'Výsledková listina'!$R:$R,0)),"",INDEX('Výsledková listina'!$B:$B,MATCH(CONCATENATE(BE$2,$A14),'Výsledková listina'!$R:$R,0),1))</f>
      </c>
      <c r="BF14" s="176"/>
      <c r="BG14" s="198">
        <f t="shared" si="22"/>
      </c>
      <c r="BH14" s="199">
        <f t="shared" si="23"/>
      </c>
      <c r="BI14" s="200"/>
      <c r="BJ14" s="197">
        <f>IF(ISNA(MATCH(CONCATENATE(BJ$2,$A14),'Výsledková listina'!$R:$R,0)),"",INDEX('Výsledková listina'!$B:$B,MATCH(CONCATENATE(BJ$2,$A14),'Výsledková listina'!$R:$R,0),1))</f>
      </c>
      <c r="BK14" s="176"/>
      <c r="BL14" s="198">
        <f t="shared" si="24"/>
      </c>
      <c r="BM14" s="199">
        <f t="shared" si="25"/>
      </c>
      <c r="BN14" s="200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</row>
    <row r="15" spans="1:137" s="202" customFormat="1" ht="34.5" customHeight="1">
      <c r="A15" s="203">
        <v>12</v>
      </c>
      <c r="B15" s="197" t="str">
        <f>IF(ISNA(MATCH(CONCATENATE(B$2,$A15),'Výsledková listina'!$R:$R,0)),"",INDEX('Výsledková listina'!$B:$B,MATCH(CONCATENATE(B$2,$A15),'Výsledková listina'!$R:$R,0),1))</f>
        <v>Tichý Rudolf</v>
      </c>
      <c r="C15" s="176">
        <v>9250</v>
      </c>
      <c r="D15" s="198">
        <f t="shared" si="0"/>
        <v>9</v>
      </c>
      <c r="E15" s="199">
        <f t="shared" si="1"/>
        <v>9</v>
      </c>
      <c r="F15" s="200"/>
      <c r="G15" s="197" t="str">
        <f>IF(ISNA(MATCH(CONCATENATE(G$2,$A15),'Výsledková listina'!$R:$R,0)),"",INDEX('Výsledková listina'!$B:$B,MATCH(CONCATENATE(G$2,$A15),'Výsledková listina'!$R:$R,0),1))</f>
        <v>Štovčík Viktor</v>
      </c>
      <c r="H15" s="176">
        <v>12600</v>
      </c>
      <c r="I15" s="198">
        <f t="shared" si="2"/>
        <v>2</v>
      </c>
      <c r="J15" s="199">
        <f t="shared" si="3"/>
        <v>2</v>
      </c>
      <c r="K15" s="200"/>
      <c r="L15" s="197" t="str">
        <f>IF(ISNA(MATCH(CONCATENATE(L$2,$A15),'Výsledková listina'!$R:$R,0)),"",INDEX('Výsledková listina'!$B:$B,MATCH(CONCATENATE(L$2,$A15),'Výsledková listina'!$R:$R,0),1))</f>
        <v>Kotek Vojtěch</v>
      </c>
      <c r="M15" s="176">
        <v>2340</v>
      </c>
      <c r="N15" s="198">
        <f t="shared" si="4"/>
        <v>14</v>
      </c>
      <c r="O15" s="199">
        <f t="shared" si="5"/>
        <v>14</v>
      </c>
      <c r="P15" s="200"/>
      <c r="Q15" s="197" t="str">
        <f>IF(ISNA(MATCH(CONCATENATE(Q$2,$A15),'Výsledková listina'!$R:$R,0)),"",INDEX('Výsledková listina'!$B:$B,MATCH(CONCATENATE(Q$2,$A15),'Výsledková listina'!$R:$R,0),1))</f>
        <v>Burak Oleg</v>
      </c>
      <c r="R15" s="176">
        <v>1940</v>
      </c>
      <c r="S15" s="198">
        <f t="shared" si="6"/>
        <v>11</v>
      </c>
      <c r="T15" s="199">
        <f t="shared" si="7"/>
        <v>11</v>
      </c>
      <c r="U15" s="200"/>
      <c r="V15" s="197" t="str">
        <f>IF(ISNA(MATCH(CONCATENATE(V$2,$A15),'Výsledková listina'!$R:$R,0)),"",INDEX('Výsledková listina'!$B:$B,MATCH(CONCATENATE(V$2,$A15),'Výsledková listina'!$R:$R,0),1))</f>
        <v>Repšlová Jana</v>
      </c>
      <c r="W15" s="176">
        <v>1960</v>
      </c>
      <c r="X15" s="198">
        <f t="shared" si="8"/>
        <v>10</v>
      </c>
      <c r="Y15" s="199">
        <f t="shared" si="9"/>
        <v>10</v>
      </c>
      <c r="Z15" s="200"/>
      <c r="AA15" s="197" t="str">
        <f>IF(ISNA(MATCH(CONCATENATE(AA$2,$A15),'Výsledková listina'!$R:$R,0)),"",INDEX('Výsledková listina'!$B:$B,MATCH(CONCATENATE(AA$2,$A15),'Výsledková listina'!$R:$R,0),1))</f>
        <v>Hrdlička Jaroslav</v>
      </c>
      <c r="AB15" s="176">
        <v>7950</v>
      </c>
      <c r="AC15" s="198">
        <f t="shared" si="10"/>
        <v>9</v>
      </c>
      <c r="AD15" s="199">
        <f t="shared" si="11"/>
        <v>9</v>
      </c>
      <c r="AE15" s="200"/>
      <c r="AF15" s="197" t="str">
        <f>IF(ISNA(MATCH(CONCATENATE(AF$2,$A15),'Výsledková listina'!$R:$R,0)),"",INDEX('Výsledková listina'!$B:$B,MATCH(CONCATENATE(AF$2,$A15),'Výsledková listina'!$R:$R,0),1))</f>
        <v>Procházka Martin</v>
      </c>
      <c r="AG15" s="176">
        <v>8460</v>
      </c>
      <c r="AH15" s="198">
        <f t="shared" si="12"/>
        <v>12</v>
      </c>
      <c r="AI15" s="199">
        <f t="shared" si="13"/>
        <v>12</v>
      </c>
      <c r="AJ15" s="200"/>
      <c r="AK15" s="197" t="str">
        <f>IF(ISNA(MATCH(CONCATENATE(AK$2,$A15),'Výsledková listina'!$R:$R,0)),"",INDEX('Výsledková listina'!$B:$B,MATCH(CONCATENATE(AK$2,$A15),'Výsledková listina'!$R:$R,0),1))</f>
        <v>Bank Jan</v>
      </c>
      <c r="AL15" s="176">
        <v>10740</v>
      </c>
      <c r="AM15" s="198">
        <f t="shared" si="14"/>
        <v>6</v>
      </c>
      <c r="AN15" s="199">
        <f t="shared" si="15"/>
        <v>6</v>
      </c>
      <c r="AO15" s="200"/>
      <c r="AP15" s="197" t="str">
        <f>IF(ISNA(MATCH(CONCATENATE(AP$2,$A15),'Výsledková listina'!$R:$R,0)),"",INDEX('Výsledková listina'!$B:$B,MATCH(CONCATENATE(AP$2,$A15),'Výsledková listina'!$R:$R,0),1))</f>
        <v>Král Víťa  st.</v>
      </c>
      <c r="AQ15" s="176">
        <v>6640</v>
      </c>
      <c r="AR15" s="198">
        <f t="shared" si="16"/>
        <v>14</v>
      </c>
      <c r="AS15" s="199">
        <f t="shared" si="17"/>
        <v>14</v>
      </c>
      <c r="AT15" s="200"/>
      <c r="AU15" s="197">
        <f>IF(ISNA(MATCH(CONCATENATE(AU$2,$A15),'Výsledková listina'!$R:$R,0)),"",INDEX('Výsledková listina'!$B:$B,MATCH(CONCATENATE(AU$2,$A15),'Výsledková listina'!$R:$R,0),1))</f>
      </c>
      <c r="AV15" s="176"/>
      <c r="AW15" s="198">
        <f t="shared" si="18"/>
      </c>
      <c r="AX15" s="199">
        <f t="shared" si="19"/>
      </c>
      <c r="AY15" s="200"/>
      <c r="AZ15" s="197">
        <f>IF(ISNA(MATCH(CONCATENATE(AZ$2,$A15),'Výsledková listina'!$R:$R,0)),"",INDEX('Výsledková listina'!$B:$B,MATCH(CONCATENATE(AZ$2,$A15),'Výsledková listina'!$R:$R,0),1))</f>
      </c>
      <c r="BA15" s="176"/>
      <c r="BB15" s="198">
        <f t="shared" si="20"/>
      </c>
      <c r="BC15" s="199">
        <f t="shared" si="21"/>
      </c>
      <c r="BD15" s="200"/>
      <c r="BE15" s="197">
        <f>IF(ISNA(MATCH(CONCATENATE(BE$2,$A15),'Výsledková listina'!$R:$R,0)),"",INDEX('Výsledková listina'!$B:$B,MATCH(CONCATENATE(BE$2,$A15),'Výsledková listina'!$R:$R,0),1))</f>
      </c>
      <c r="BF15" s="176"/>
      <c r="BG15" s="198">
        <f t="shared" si="22"/>
      </c>
      <c r="BH15" s="199">
        <f t="shared" si="23"/>
      </c>
      <c r="BI15" s="200"/>
      <c r="BJ15" s="197">
        <f>IF(ISNA(MATCH(CONCATENATE(BJ$2,$A15),'Výsledková listina'!$R:$R,0)),"",INDEX('Výsledková listina'!$B:$B,MATCH(CONCATENATE(BJ$2,$A15),'Výsledková listina'!$R:$R,0),1))</f>
      </c>
      <c r="BK15" s="176"/>
      <c r="BL15" s="198">
        <f t="shared" si="24"/>
      </c>
      <c r="BM15" s="199">
        <f t="shared" si="25"/>
      </c>
      <c r="BN15" s="200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</row>
    <row r="16" spans="1:137" s="202" customFormat="1" ht="34.5" customHeight="1">
      <c r="A16" s="203">
        <v>13</v>
      </c>
      <c r="B16" s="197" t="str">
        <f>IF(ISNA(MATCH(CONCATENATE(B$2,$A16),'Výsledková listina'!$R:$R,0)),"",INDEX('Výsledková listina'!$B:$B,MATCH(CONCATENATE(B$2,$A16),'Výsledková listina'!$R:$R,0),1))</f>
        <v>Kolařík David ing.</v>
      </c>
      <c r="C16" s="176">
        <v>12320</v>
      </c>
      <c r="D16" s="198">
        <f t="shared" si="0"/>
        <v>4</v>
      </c>
      <c r="E16" s="199">
        <f t="shared" si="1"/>
        <v>4</v>
      </c>
      <c r="F16" s="200"/>
      <c r="G16" s="197" t="str">
        <f>IF(ISNA(MATCH(CONCATENATE(G$2,$A16),'Výsledková listina'!$R:$R,0)),"",INDEX('Výsledková listina'!$B:$B,MATCH(CONCATENATE(G$2,$A16),'Výsledková listina'!$R:$R,0),1))</f>
        <v>Kunst Antonín</v>
      </c>
      <c r="H16" s="176">
        <v>14760</v>
      </c>
      <c r="I16" s="198">
        <f t="shared" si="2"/>
        <v>1</v>
      </c>
      <c r="J16" s="199">
        <f t="shared" si="3"/>
        <v>1</v>
      </c>
      <c r="K16" s="200"/>
      <c r="L16" s="197" t="str">
        <f>IF(ISNA(MATCH(CONCATENATE(L$2,$A16),'Výsledková listina'!$R:$R,0)),"",INDEX('Výsledková listina'!$B:$B,MATCH(CONCATENATE(L$2,$A16),'Výsledková listina'!$R:$R,0),1))</f>
        <v>Špánek Milan</v>
      </c>
      <c r="M16" s="176">
        <v>5810</v>
      </c>
      <c r="N16" s="198">
        <f t="shared" si="4"/>
        <v>9</v>
      </c>
      <c r="O16" s="199">
        <f t="shared" si="5"/>
        <v>9</v>
      </c>
      <c r="P16" s="200"/>
      <c r="Q16" s="197" t="str">
        <f>IF(ISNA(MATCH(CONCATENATE(Q$2,$A16),'Výsledková listina'!$R:$R,0)),"",INDEX('Výsledková listina'!$B:$B,MATCH(CONCATENATE(Q$2,$A16),'Výsledková listina'!$R:$R,0),1))</f>
        <v>Štěpnička Milan</v>
      </c>
      <c r="R16" s="176">
        <v>3500</v>
      </c>
      <c r="S16" s="198">
        <f t="shared" si="6"/>
        <v>8</v>
      </c>
      <c r="T16" s="199">
        <f t="shared" si="7"/>
        <v>8</v>
      </c>
      <c r="U16" s="200"/>
      <c r="V16" s="197" t="str">
        <f>IF(ISNA(MATCH(CONCATENATE(V$2,$A16),'Výsledková listina'!$R:$R,0)),"",INDEX('Výsledková listina'!$B:$B,MATCH(CONCATENATE(V$2,$A16),'Výsledková listina'!$R:$R,0),1))</f>
        <v>Bulak Serhiy</v>
      </c>
      <c r="W16" s="176">
        <v>4000</v>
      </c>
      <c r="X16" s="198">
        <f t="shared" si="8"/>
        <v>7</v>
      </c>
      <c r="Y16" s="199">
        <f t="shared" si="9"/>
        <v>7</v>
      </c>
      <c r="Z16" s="200"/>
      <c r="AA16" s="197" t="str">
        <f>IF(ISNA(MATCH(CONCATENATE(AA$2,$A16),'Výsledková listina'!$R:$R,0)),"",INDEX('Výsledková listina'!$B:$B,MATCH(CONCATENATE(AA$2,$A16),'Výsledková listina'!$R:$R,0),1))</f>
        <v>Svitek Ferdinand</v>
      </c>
      <c r="AB16" s="176">
        <v>1910</v>
      </c>
      <c r="AC16" s="198">
        <f t="shared" si="10"/>
        <v>14</v>
      </c>
      <c r="AD16" s="199">
        <f t="shared" si="11"/>
        <v>14</v>
      </c>
      <c r="AE16" s="200"/>
      <c r="AF16" s="197" t="str">
        <f>IF(ISNA(MATCH(CONCATENATE(AF$2,$A16),'Výsledková listina'!$R:$R,0)),"",INDEX('Výsledková listina'!$B:$B,MATCH(CONCATENATE(AF$2,$A16),'Výsledková listina'!$R:$R,0),1))</f>
        <v>Štěpnička Radek</v>
      </c>
      <c r="AG16" s="176">
        <v>16560</v>
      </c>
      <c r="AH16" s="198">
        <f t="shared" si="12"/>
        <v>1</v>
      </c>
      <c r="AI16" s="199">
        <f t="shared" si="13"/>
        <v>1</v>
      </c>
      <c r="AJ16" s="200"/>
      <c r="AK16" s="197" t="str">
        <f>IF(ISNA(MATCH(CONCATENATE(AK$2,$A16),'Výsledková listina'!$R:$R,0)),"",INDEX('Výsledková listina'!$B:$B,MATCH(CONCATENATE(AK$2,$A16),'Výsledková listina'!$R:$R,0),1))</f>
        <v>Ludvík Jiří</v>
      </c>
      <c r="AL16" s="176">
        <v>11710</v>
      </c>
      <c r="AM16" s="198">
        <f t="shared" si="14"/>
        <v>5</v>
      </c>
      <c r="AN16" s="199">
        <f t="shared" si="15"/>
        <v>5</v>
      </c>
      <c r="AO16" s="200"/>
      <c r="AP16" s="197" t="str">
        <f>IF(ISNA(MATCH(CONCATENATE(AP$2,$A16),'Výsledková listina'!$R:$R,0)),"",INDEX('Výsledková listina'!$B:$B,MATCH(CONCATENATE(AP$2,$A16),'Výsledková listina'!$R:$R,0),1))</f>
        <v>Kabourek Václav</v>
      </c>
      <c r="AQ16" s="176">
        <v>12390</v>
      </c>
      <c r="AR16" s="198">
        <f t="shared" si="16"/>
        <v>8</v>
      </c>
      <c r="AS16" s="199">
        <f t="shared" si="17"/>
        <v>8</v>
      </c>
      <c r="AT16" s="200"/>
      <c r="AU16" s="197">
        <f>IF(ISNA(MATCH(CONCATENATE(AU$2,$A16),'Výsledková listina'!$R:$R,0)),"",INDEX('Výsledková listina'!$B:$B,MATCH(CONCATENATE(AU$2,$A16),'Výsledková listina'!$R:$R,0),1))</f>
      </c>
      <c r="AV16" s="176"/>
      <c r="AW16" s="198">
        <f t="shared" si="18"/>
      </c>
      <c r="AX16" s="199">
        <f t="shared" si="19"/>
      </c>
      <c r="AY16" s="200"/>
      <c r="AZ16" s="197">
        <f>IF(ISNA(MATCH(CONCATENATE(AZ$2,$A16),'Výsledková listina'!$R:$R,0)),"",INDEX('Výsledková listina'!$B:$B,MATCH(CONCATENATE(AZ$2,$A16),'Výsledková listina'!$R:$R,0),1))</f>
      </c>
      <c r="BA16" s="176"/>
      <c r="BB16" s="198">
        <f t="shared" si="20"/>
      </c>
      <c r="BC16" s="199">
        <f t="shared" si="21"/>
      </c>
      <c r="BD16" s="200"/>
      <c r="BE16" s="197">
        <f>IF(ISNA(MATCH(CONCATENATE(BE$2,$A16),'Výsledková listina'!$R:$R,0)),"",INDEX('Výsledková listina'!$B:$B,MATCH(CONCATENATE(BE$2,$A16),'Výsledková listina'!$R:$R,0),1))</f>
      </c>
      <c r="BF16" s="176"/>
      <c r="BG16" s="198">
        <f t="shared" si="22"/>
      </c>
      <c r="BH16" s="199">
        <f t="shared" si="23"/>
      </c>
      <c r="BI16" s="200"/>
      <c r="BJ16" s="197">
        <f>IF(ISNA(MATCH(CONCATENATE(BJ$2,$A16),'Výsledková listina'!$R:$R,0)),"",INDEX('Výsledková listina'!$B:$B,MATCH(CONCATENATE(BJ$2,$A16),'Výsledková listina'!$R:$R,0),1))</f>
      </c>
      <c r="BK16" s="176"/>
      <c r="BL16" s="198">
        <f t="shared" si="24"/>
      </c>
      <c r="BM16" s="199">
        <f t="shared" si="25"/>
      </c>
      <c r="BN16" s="200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</row>
    <row r="17" spans="1:137" s="202" customFormat="1" ht="34.5" customHeight="1">
      <c r="A17" s="203">
        <v>14</v>
      </c>
      <c r="B17" s="197" t="str">
        <f>IF(ISNA(MATCH(CONCATENATE(B$2,$A17),'Výsledková listina'!$R:$R,0)),"",INDEX('Výsledková listina'!$B:$B,MATCH(CONCATENATE(B$2,$A17),'Výsledková listina'!$R:$R,0),1))</f>
        <v>Bromovský Petr</v>
      </c>
      <c r="C17" s="176">
        <v>10460</v>
      </c>
      <c r="D17" s="198">
        <f t="shared" si="0"/>
        <v>7</v>
      </c>
      <c r="E17" s="199">
        <f t="shared" si="1"/>
        <v>7</v>
      </c>
      <c r="F17" s="200"/>
      <c r="G17" s="197" t="str">
        <f>IF(ISNA(MATCH(CONCATENATE(G$2,$A17),'Výsledková listina'!$R:$R,0)),"",INDEX('Výsledková listina'!$B:$B,MATCH(CONCATENATE(G$2,$A17),'Výsledková listina'!$R:$R,0),1))</f>
        <v>Fedas Ondřej</v>
      </c>
      <c r="H17" s="176">
        <v>4300</v>
      </c>
      <c r="I17" s="198">
        <f t="shared" si="2"/>
        <v>8</v>
      </c>
      <c r="J17" s="199">
        <f t="shared" si="3"/>
        <v>8</v>
      </c>
      <c r="K17" s="200"/>
      <c r="L17" s="197" t="str">
        <f>IF(ISNA(MATCH(CONCATENATE(L$2,$A17),'Výsledková listina'!$R:$R,0)),"",INDEX('Výsledková listina'!$B:$B,MATCH(CONCATENATE(L$2,$A17),'Výsledková listina'!$R:$R,0),1))</f>
        <v>Fodor Petr</v>
      </c>
      <c r="M17" s="176">
        <v>2420</v>
      </c>
      <c r="N17" s="198">
        <f t="shared" si="4"/>
        <v>13</v>
      </c>
      <c r="O17" s="199">
        <f t="shared" si="5"/>
        <v>13</v>
      </c>
      <c r="P17" s="200"/>
      <c r="Q17" s="197" t="str">
        <f>IF(ISNA(MATCH(CONCATENATE(Q$2,$A17),'Výsledková listina'!$R:$R,0)),"",INDEX('Výsledková listina'!$B:$B,MATCH(CONCATENATE(Q$2,$A17),'Výsledková listina'!$R:$R,0),1))</f>
        <v>Vosáhlo Pavel</v>
      </c>
      <c r="R17" s="176">
        <v>5320</v>
      </c>
      <c r="S17" s="198">
        <f t="shared" si="6"/>
        <v>3</v>
      </c>
      <c r="T17" s="199">
        <f t="shared" si="7"/>
        <v>3</v>
      </c>
      <c r="U17" s="200"/>
      <c r="V17" s="197" t="str">
        <f>IF(ISNA(MATCH(CONCATENATE(V$2,$A17),'Výsledková listina'!$R:$R,0)),"",INDEX('Výsledková listina'!$B:$B,MATCH(CONCATENATE(V$2,$A17),'Výsledková listina'!$R:$R,0),1))</f>
        <v>Konopásek Josef</v>
      </c>
      <c r="W17" s="176">
        <v>16640</v>
      </c>
      <c r="X17" s="198">
        <f t="shared" si="8"/>
        <v>1</v>
      </c>
      <c r="Y17" s="199">
        <f t="shared" si="9"/>
        <v>1</v>
      </c>
      <c r="Z17" s="200"/>
      <c r="AA17" s="197" t="str">
        <f>IF(ISNA(MATCH(CONCATENATE(AA$2,$A17),'Výsledková listina'!$R:$R,0)),"",INDEX('Výsledková listina'!$B:$B,MATCH(CONCATENATE(AA$2,$A17),'Výsledková listina'!$R:$R,0),1))</f>
        <v>Novosad Tomáš</v>
      </c>
      <c r="AB17" s="176">
        <v>750</v>
      </c>
      <c r="AC17" s="198">
        <f t="shared" si="10"/>
        <v>16</v>
      </c>
      <c r="AD17" s="199">
        <f t="shared" si="11"/>
        <v>16</v>
      </c>
      <c r="AE17" s="200"/>
      <c r="AF17" s="197" t="str">
        <f>IF(ISNA(MATCH(CONCATENATE(AF$2,$A17),'Výsledková listina'!$R:$R,0)),"",INDEX('Výsledková listina'!$B:$B,MATCH(CONCATENATE(AF$2,$A17),'Výsledková listina'!$R:$R,0),1))</f>
        <v>Grofová Lenka</v>
      </c>
      <c r="AG17" s="176">
        <v>9270</v>
      </c>
      <c r="AH17" s="198">
        <f t="shared" si="12"/>
        <v>11</v>
      </c>
      <c r="AI17" s="199">
        <f t="shared" si="13"/>
        <v>11</v>
      </c>
      <c r="AJ17" s="200"/>
      <c r="AK17" s="197" t="str">
        <f>IF(ISNA(MATCH(CONCATENATE(AK$2,$A17),'Výsledková listina'!$R:$R,0)),"",INDEX('Výsledková listina'!$B:$B,MATCH(CONCATENATE(AK$2,$A17),'Výsledková listina'!$R:$R,0),1))</f>
        <v>Shershen Volodimír</v>
      </c>
      <c r="AL17" s="176">
        <v>1610</v>
      </c>
      <c r="AM17" s="198">
        <f t="shared" si="14"/>
        <v>14</v>
      </c>
      <c r="AN17" s="199">
        <f t="shared" si="15"/>
        <v>14</v>
      </c>
      <c r="AO17" s="200"/>
      <c r="AP17" s="197" t="str">
        <f>IF(ISNA(MATCH(CONCATENATE(AP$2,$A17),'Výsledková listina'!$R:$R,0)),"",INDEX('Výsledková listina'!$B:$B,MATCH(CONCATENATE(AP$2,$A17),'Výsledková listina'!$R:$R,0),1))</f>
        <v>Radil Miroslav</v>
      </c>
      <c r="AQ17" s="176">
        <v>20680</v>
      </c>
      <c r="AR17" s="198">
        <f t="shared" si="16"/>
        <v>2</v>
      </c>
      <c r="AS17" s="199">
        <f t="shared" si="17"/>
        <v>2</v>
      </c>
      <c r="AT17" s="200"/>
      <c r="AU17" s="197">
        <f>IF(ISNA(MATCH(CONCATENATE(AU$2,$A17),'Výsledková listina'!$R:$R,0)),"",INDEX('Výsledková listina'!$B:$B,MATCH(CONCATENATE(AU$2,$A17),'Výsledková listina'!$R:$R,0),1))</f>
      </c>
      <c r="AV17" s="176"/>
      <c r="AW17" s="198">
        <f t="shared" si="18"/>
      </c>
      <c r="AX17" s="199">
        <f t="shared" si="19"/>
      </c>
      <c r="AY17" s="200"/>
      <c r="AZ17" s="197">
        <f>IF(ISNA(MATCH(CONCATENATE(AZ$2,$A17),'Výsledková listina'!$R:$R,0)),"",INDEX('Výsledková listina'!$B:$B,MATCH(CONCATENATE(AZ$2,$A17),'Výsledková listina'!$R:$R,0),1))</f>
      </c>
      <c r="BA17" s="176"/>
      <c r="BB17" s="198">
        <f t="shared" si="20"/>
      </c>
      <c r="BC17" s="199">
        <f t="shared" si="21"/>
      </c>
      <c r="BD17" s="200"/>
      <c r="BE17" s="197">
        <f>IF(ISNA(MATCH(CONCATENATE(BE$2,$A17),'Výsledková listina'!$R:$R,0)),"",INDEX('Výsledková listina'!$B:$B,MATCH(CONCATENATE(BE$2,$A17),'Výsledková listina'!$R:$R,0),1))</f>
      </c>
      <c r="BF17" s="176"/>
      <c r="BG17" s="198">
        <f t="shared" si="22"/>
      </c>
      <c r="BH17" s="199">
        <f t="shared" si="23"/>
      </c>
      <c r="BI17" s="200"/>
      <c r="BJ17" s="197">
        <f>IF(ISNA(MATCH(CONCATENATE(BJ$2,$A17),'Výsledková listina'!$R:$R,0)),"",INDEX('Výsledková listina'!$B:$B,MATCH(CONCATENATE(BJ$2,$A17),'Výsledková listina'!$R:$R,0),1))</f>
      </c>
      <c r="BK17" s="176"/>
      <c r="BL17" s="198">
        <f t="shared" si="24"/>
      </c>
      <c r="BM17" s="199">
        <f t="shared" si="25"/>
      </c>
      <c r="BN17" s="200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</row>
    <row r="18" spans="1:137" s="202" customFormat="1" ht="34.5" customHeight="1">
      <c r="A18" s="203">
        <v>15</v>
      </c>
      <c r="B18" s="197" t="str">
        <f>IF(ISNA(MATCH(CONCATENATE(B$2,$A18),'Výsledková listina'!$R:$R,0)),"",INDEX('Výsledková listina'!$B:$B,MATCH(CONCATENATE(B$2,$A18),'Výsledková listina'!$R:$R,0),1))</f>
        <v>Němec Jan</v>
      </c>
      <c r="C18" s="176">
        <v>1760</v>
      </c>
      <c r="D18" s="198">
        <f t="shared" si="0"/>
        <v>15</v>
      </c>
      <c r="E18" s="199">
        <f t="shared" si="1"/>
        <v>15</v>
      </c>
      <c r="F18" s="200"/>
      <c r="G18" s="197" t="str">
        <f>IF(ISNA(MATCH(CONCATENATE(G$2,$A18),'Výsledková listina'!$R:$R,0)),"",INDEX('Výsledková listina'!$B:$B,MATCH(CONCATENATE(G$2,$A18),'Výsledková listina'!$R:$R,0),1))</f>
        <v>Hanousek Jiří</v>
      </c>
      <c r="H18" s="176">
        <v>6210</v>
      </c>
      <c r="I18" s="198">
        <f t="shared" si="2"/>
        <v>5</v>
      </c>
      <c r="J18" s="199">
        <f t="shared" si="3"/>
        <v>5</v>
      </c>
      <c r="K18" s="200"/>
      <c r="L18" s="197" t="str">
        <f>IF(ISNA(MATCH(CONCATENATE(L$2,$A18),'Výsledková listina'!$R:$R,0)),"",INDEX('Výsledková listina'!$B:$B,MATCH(CONCATENATE(L$2,$A18),'Výsledková listina'!$R:$R,0),1))</f>
        <v>Stárek Jan</v>
      </c>
      <c r="M18" s="176">
        <v>4100</v>
      </c>
      <c r="N18" s="198">
        <f t="shared" si="4"/>
        <v>11</v>
      </c>
      <c r="O18" s="199">
        <f t="shared" si="5"/>
        <v>11</v>
      </c>
      <c r="P18" s="200"/>
      <c r="Q18" s="197" t="str">
        <f>IF(ISNA(MATCH(CONCATENATE(Q$2,$A18),'Výsledková listina'!$R:$R,0)),"",INDEX('Výsledková listina'!$B:$B,MATCH(CONCATENATE(Q$2,$A18),'Výsledková listina'!$R:$R,0),1))</f>
        <v>Černý Radek</v>
      </c>
      <c r="R18" s="176">
        <v>13360</v>
      </c>
      <c r="S18" s="198">
        <f t="shared" si="6"/>
        <v>1</v>
      </c>
      <c r="T18" s="199">
        <f t="shared" si="7"/>
        <v>1</v>
      </c>
      <c r="U18" s="200"/>
      <c r="V18" s="197" t="str">
        <f>IF(ISNA(MATCH(CONCATENATE(V$2,$A18),'Výsledková listina'!$R:$R,0)),"",INDEX('Výsledková listina'!$B:$B,MATCH(CONCATENATE(V$2,$A18),'Výsledková listina'!$R:$R,0),1))</f>
        <v>Hájek Ondřej</v>
      </c>
      <c r="W18" s="176">
        <v>14960</v>
      </c>
      <c r="X18" s="198">
        <f t="shared" si="8"/>
        <v>2</v>
      </c>
      <c r="Y18" s="199">
        <f t="shared" si="9"/>
        <v>2</v>
      </c>
      <c r="Z18" s="200"/>
      <c r="AA18" s="197" t="str">
        <f>IF(ISNA(MATCH(CONCATENATE(AA$2,$A18),'Výsledková listina'!$R:$R,0)),"",INDEX('Výsledková listina'!$B:$B,MATCH(CONCATENATE(AA$2,$A18),'Výsledková listina'!$R:$R,0),1))</f>
        <v>Kodad Daniel</v>
      </c>
      <c r="AB18" s="176">
        <v>1760</v>
      </c>
      <c r="AC18" s="198">
        <f t="shared" si="10"/>
        <v>15</v>
      </c>
      <c r="AD18" s="199">
        <f t="shared" si="11"/>
        <v>15</v>
      </c>
      <c r="AE18" s="200"/>
      <c r="AF18" s="197" t="str">
        <f>IF(ISNA(MATCH(CONCATENATE(AF$2,$A18),'Výsledková listina'!$R:$R,0)),"",INDEX('Výsledková listina'!$B:$B,MATCH(CONCATENATE(AF$2,$A18),'Výsledková listina'!$R:$R,0),1))</f>
        <v>Špitálský Václav</v>
      </c>
      <c r="AG18" s="176">
        <v>5670</v>
      </c>
      <c r="AH18" s="198">
        <f t="shared" si="12"/>
        <v>14</v>
      </c>
      <c r="AI18" s="199">
        <f t="shared" si="13"/>
        <v>14</v>
      </c>
      <c r="AJ18" s="200"/>
      <c r="AK18" s="197" t="str">
        <f>IF(ISNA(MATCH(CONCATENATE(AK$2,$A18),'Výsledková listina'!$R:$R,0)),"",INDEX('Výsledková listina'!$B:$B,MATCH(CONCATENATE(AK$2,$A18),'Výsledková listina'!$R:$R,0),1))</f>
        <v>Vančata Vladimír</v>
      </c>
      <c r="AL18" s="176">
        <v>7610</v>
      </c>
      <c r="AM18" s="198">
        <f t="shared" si="14"/>
        <v>9</v>
      </c>
      <c r="AN18" s="199">
        <f t="shared" si="15"/>
        <v>9.5</v>
      </c>
      <c r="AO18" s="200"/>
      <c r="AP18" s="197" t="str">
        <f>IF(ISNA(MATCH(CONCATENATE(AP$2,$A18),'Výsledková listina'!$R:$R,0)),"",INDEX('Výsledková listina'!$B:$B,MATCH(CONCATENATE(AP$2,$A18),'Výsledková listina'!$R:$R,0),1))</f>
        <v>Velebný Pavel</v>
      </c>
      <c r="AQ18" s="176">
        <v>24590</v>
      </c>
      <c r="AR18" s="198">
        <f t="shared" si="16"/>
        <v>1</v>
      </c>
      <c r="AS18" s="199">
        <f t="shared" si="17"/>
        <v>1</v>
      </c>
      <c r="AT18" s="200"/>
      <c r="AU18" s="197">
        <f>IF(ISNA(MATCH(CONCATENATE(AU$2,$A18),'Výsledková listina'!$R:$R,0)),"",INDEX('Výsledková listina'!$B:$B,MATCH(CONCATENATE(AU$2,$A18),'Výsledková listina'!$R:$R,0),1))</f>
      </c>
      <c r="AV18" s="176"/>
      <c r="AW18" s="198">
        <f t="shared" si="18"/>
      </c>
      <c r="AX18" s="199">
        <f t="shared" si="19"/>
      </c>
      <c r="AY18" s="200"/>
      <c r="AZ18" s="197">
        <f>IF(ISNA(MATCH(CONCATENATE(AZ$2,$A18),'Výsledková listina'!$R:$R,0)),"",INDEX('Výsledková listina'!$B:$B,MATCH(CONCATENATE(AZ$2,$A18),'Výsledková listina'!$R:$R,0),1))</f>
      </c>
      <c r="BA18" s="176"/>
      <c r="BB18" s="198">
        <f t="shared" si="20"/>
      </c>
      <c r="BC18" s="199">
        <f t="shared" si="21"/>
      </c>
      <c r="BD18" s="200"/>
      <c r="BE18" s="197">
        <f>IF(ISNA(MATCH(CONCATENATE(BE$2,$A18),'Výsledková listina'!$R:$R,0)),"",INDEX('Výsledková listina'!$B:$B,MATCH(CONCATENATE(BE$2,$A18),'Výsledková listina'!$R:$R,0),1))</f>
      </c>
      <c r="BF18" s="176"/>
      <c r="BG18" s="198">
        <f t="shared" si="22"/>
      </c>
      <c r="BH18" s="199">
        <f t="shared" si="23"/>
      </c>
      <c r="BI18" s="200"/>
      <c r="BJ18" s="197">
        <f>IF(ISNA(MATCH(CONCATENATE(BJ$2,$A18),'Výsledková listina'!$R:$R,0)),"",INDEX('Výsledková listina'!$B:$B,MATCH(CONCATENATE(BJ$2,$A18),'Výsledková listina'!$R:$R,0),1))</f>
      </c>
      <c r="BK18" s="176"/>
      <c r="BL18" s="198">
        <f t="shared" si="24"/>
      </c>
      <c r="BM18" s="199">
        <f t="shared" si="25"/>
      </c>
      <c r="BN18" s="200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</row>
    <row r="19" spans="1:137" s="202" customFormat="1" ht="34.5" customHeight="1">
      <c r="A19" s="203">
        <v>16</v>
      </c>
      <c r="B19" s="197">
        <f>IF(ISNA(MATCH(CONCATENATE(B$2,$A19),'Výsledková listina'!$R:$R,0)),"",INDEX('Výsledková listina'!$B:$B,MATCH(CONCATENATE(B$2,$A19),'Výsledková listina'!$R:$R,0),1))</f>
      </c>
      <c r="C19" s="176"/>
      <c r="D19" s="198">
        <f t="shared" si="0"/>
      </c>
      <c r="E19" s="199">
        <f t="shared" si="1"/>
      </c>
      <c r="F19" s="200"/>
      <c r="G19" s="197">
        <f>IF(ISNA(MATCH(CONCATENATE(G$2,$A19),'Výsledková listina'!$R:$R,0)),"",INDEX('Výsledková listina'!$B:$B,MATCH(CONCATENATE(G$2,$A19),'Výsledková listina'!$R:$R,0),1))</f>
      </c>
      <c r="H19" s="176"/>
      <c r="I19" s="198">
        <f t="shared" si="2"/>
      </c>
      <c r="J19" s="199">
        <f t="shared" si="3"/>
      </c>
      <c r="K19" s="200"/>
      <c r="L19" s="197" t="str">
        <f>IF(ISNA(MATCH(CONCATENATE(L$2,$A19),'Výsledková listina'!$R:$R,0)),"",INDEX('Výsledková listina'!$B:$B,MATCH(CONCATENATE(L$2,$A19),'Výsledková listina'!$R:$R,0),1))</f>
        <v>Mlčák Luboš</v>
      </c>
      <c r="M19" s="176">
        <v>6160</v>
      </c>
      <c r="N19" s="198">
        <f t="shared" si="4"/>
        <v>7</v>
      </c>
      <c r="O19" s="199">
        <f t="shared" si="5"/>
        <v>7</v>
      </c>
      <c r="P19" s="200"/>
      <c r="Q19" s="197" t="str">
        <f>IF(ISNA(MATCH(CONCATENATE(Q$2,$A19),'Výsledková listina'!$R:$R,0)),"",INDEX('Výsledková listina'!$B:$B,MATCH(CONCATENATE(Q$2,$A19),'Výsledková listina'!$R:$R,0),1))</f>
        <v>Chadraba Petr</v>
      </c>
      <c r="R19" s="176">
        <v>3940</v>
      </c>
      <c r="S19" s="198">
        <f t="shared" si="6"/>
        <v>7</v>
      </c>
      <c r="T19" s="199">
        <f t="shared" si="7"/>
        <v>7</v>
      </c>
      <c r="U19" s="200"/>
      <c r="V19" s="197" t="str">
        <f>IF(ISNA(MATCH(CONCATENATE(V$2,$A19),'Výsledková listina'!$R:$R,0)),"",INDEX('Výsledková listina'!$B:$B,MATCH(CONCATENATE(V$2,$A19),'Výsledková listina'!$R:$R,0),1))</f>
        <v>Richter František</v>
      </c>
      <c r="W19" s="176">
        <v>6020</v>
      </c>
      <c r="X19" s="198">
        <f t="shared" si="8"/>
        <v>5</v>
      </c>
      <c r="Y19" s="199">
        <f t="shared" si="9"/>
        <v>5</v>
      </c>
      <c r="Z19" s="200"/>
      <c r="AA19" s="197" t="str">
        <f>IF(ISNA(MATCH(CONCATENATE(AA$2,$A19),'Výsledková listina'!$R:$R,0)),"",INDEX('Výsledková listina'!$B:$B,MATCH(CONCATENATE(AA$2,$A19),'Výsledková listina'!$R:$R,0),1))</f>
        <v>Zeman Tomáš</v>
      </c>
      <c r="AB19" s="176">
        <v>10000</v>
      </c>
      <c r="AC19" s="198">
        <f t="shared" si="10"/>
        <v>6</v>
      </c>
      <c r="AD19" s="199">
        <f t="shared" si="11"/>
        <v>6</v>
      </c>
      <c r="AE19" s="200"/>
      <c r="AF19" s="197" t="str">
        <f>IF(ISNA(MATCH(CONCATENATE(AF$2,$A19),'Výsledková listina'!$R:$R,0)),"",INDEX('Výsledková listina'!$B:$B,MATCH(CONCATENATE(AF$2,$A19),'Výsledková listina'!$R:$R,0),1))</f>
        <v>Pužej Štěpán</v>
      </c>
      <c r="AG19" s="176">
        <v>11400</v>
      </c>
      <c r="AH19" s="198">
        <f t="shared" si="12"/>
        <v>8</v>
      </c>
      <c r="AI19" s="199">
        <f t="shared" si="13"/>
        <v>8</v>
      </c>
      <c r="AJ19" s="200"/>
      <c r="AK19" s="197" t="str">
        <f>IF(ISNA(MATCH(CONCATENATE(AK$2,$A19),'Výsledková listina'!$R:$R,0)),"",INDEX('Výsledková listina'!$B:$B,MATCH(CONCATENATE(AK$2,$A19),'Výsledková listina'!$R:$R,0),1))</f>
        <v>Houžvíček Jan</v>
      </c>
      <c r="AL19" s="176">
        <v>8120</v>
      </c>
      <c r="AM19" s="198">
        <f t="shared" si="14"/>
        <v>8</v>
      </c>
      <c r="AN19" s="199">
        <f t="shared" si="15"/>
        <v>8</v>
      </c>
      <c r="AO19" s="200"/>
      <c r="AP19" s="197">
        <f>IF(ISNA(MATCH(CONCATENATE(AP$2,$A19),'Výsledková listina'!$R:$R,0)),"",INDEX('Výsledková listina'!$B:$B,MATCH(CONCATENATE(AP$2,$A19),'Výsledková listina'!$R:$R,0),1))</f>
      </c>
      <c r="AQ19" s="176"/>
      <c r="AR19" s="198">
        <f t="shared" si="16"/>
      </c>
      <c r="AS19" s="199">
        <f t="shared" si="17"/>
      </c>
      <c r="AT19" s="200"/>
      <c r="AU19" s="197">
        <f>IF(ISNA(MATCH(CONCATENATE(AU$2,$A19),'Výsledková listina'!$R:$R,0)),"",INDEX('Výsledková listina'!$B:$B,MATCH(CONCATENATE(AU$2,$A19),'Výsledková listina'!$R:$R,0),1))</f>
      </c>
      <c r="AV19" s="176"/>
      <c r="AW19" s="198">
        <f t="shared" si="18"/>
      </c>
      <c r="AX19" s="199">
        <f t="shared" si="19"/>
      </c>
      <c r="AY19" s="200"/>
      <c r="AZ19" s="197">
        <f>IF(ISNA(MATCH(CONCATENATE(AZ$2,$A19),'Výsledková listina'!$R:$R,0)),"",INDEX('Výsledková listina'!$B:$B,MATCH(CONCATENATE(AZ$2,$A19),'Výsledková listina'!$R:$R,0),1))</f>
      </c>
      <c r="BA19" s="176"/>
      <c r="BB19" s="198">
        <f t="shared" si="20"/>
      </c>
      <c r="BC19" s="199">
        <f t="shared" si="21"/>
      </c>
      <c r="BD19" s="200"/>
      <c r="BE19" s="197">
        <f>IF(ISNA(MATCH(CONCATENATE(BE$2,$A19),'Výsledková listina'!$R:$R,0)),"",INDEX('Výsledková listina'!$B:$B,MATCH(CONCATENATE(BE$2,$A19),'Výsledková listina'!$R:$R,0),1))</f>
      </c>
      <c r="BF19" s="176"/>
      <c r="BG19" s="198">
        <f t="shared" si="22"/>
      </c>
      <c r="BH19" s="199">
        <f t="shared" si="23"/>
      </c>
      <c r="BI19" s="200"/>
      <c r="BJ19" s="197">
        <f>IF(ISNA(MATCH(CONCATENATE(BJ$2,$A19),'Výsledková listina'!$R:$R,0)),"",INDEX('Výsledková listina'!$B:$B,MATCH(CONCATENATE(BJ$2,$A19),'Výsledková listina'!$R:$R,0),1))</f>
      </c>
      <c r="BK19" s="176"/>
      <c r="BL19" s="198">
        <f t="shared" si="24"/>
      </c>
      <c r="BM19" s="199">
        <f t="shared" si="25"/>
      </c>
      <c r="BN19" s="200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</row>
    <row r="20" spans="1:137" s="202" customFormat="1" ht="34.5" customHeight="1">
      <c r="A20" s="203">
        <v>17</v>
      </c>
      <c r="B20" s="197">
        <f>IF(ISNA(MATCH(CONCATENATE(B$2,$A20),'Výsledková listina'!$R:$R,0)),"",INDEX('Výsledková listina'!$B:$B,MATCH(CONCATENATE(B$2,$A20),'Výsledková listina'!$R:$R,0),1))</f>
      </c>
      <c r="C20" s="176"/>
      <c r="D20" s="198">
        <f t="shared" si="0"/>
      </c>
      <c r="E20" s="199">
        <f t="shared" si="1"/>
      </c>
      <c r="F20" s="200"/>
      <c r="G20" s="197">
        <f>IF(ISNA(MATCH(CONCATENATE(G$2,$A20),'Výsledková listina'!$R:$R,0)),"",INDEX('Výsledková listina'!$B:$B,MATCH(CONCATENATE(G$2,$A20),'Výsledková listina'!$R:$R,0),1))</f>
      </c>
      <c r="H20" s="176"/>
      <c r="I20" s="198">
        <f t="shared" si="2"/>
      </c>
      <c r="J20" s="199">
        <f t="shared" si="3"/>
      </c>
      <c r="K20" s="200"/>
      <c r="L20" s="197">
        <f>IF(ISNA(MATCH(CONCATENATE(L$2,$A20),'Výsledková listina'!$R:$R,0)),"",INDEX('Výsledková listina'!$B:$B,MATCH(CONCATENATE(L$2,$A20),'Výsledková listina'!$R:$R,0),1))</f>
      </c>
      <c r="M20" s="176"/>
      <c r="N20" s="198">
        <f t="shared" si="4"/>
      </c>
      <c r="O20" s="199">
        <f t="shared" si="5"/>
      </c>
      <c r="P20" s="200"/>
      <c r="Q20" s="197">
        <f>IF(ISNA(MATCH(CONCATENATE(Q$2,$A20),'Výsledková listina'!$R:$R,0)),"",INDEX('Výsledková listina'!$B:$B,MATCH(CONCATENATE(Q$2,$A20),'Výsledková listina'!$R:$R,0),1))</f>
      </c>
      <c r="R20" s="176"/>
      <c r="S20" s="198">
        <f t="shared" si="6"/>
      </c>
      <c r="T20" s="199">
        <f t="shared" si="7"/>
      </c>
      <c r="U20" s="200"/>
      <c r="V20" s="197">
        <f>IF(ISNA(MATCH(CONCATENATE(V$2,$A20),'Výsledková listina'!$R:$R,0)),"",INDEX('Výsledková listina'!$B:$B,MATCH(CONCATENATE(V$2,$A20),'Výsledková listina'!$R:$R,0),1))</f>
      </c>
      <c r="W20" s="176"/>
      <c r="X20" s="198">
        <f t="shared" si="8"/>
      </c>
      <c r="Y20" s="199">
        <f t="shared" si="9"/>
      </c>
      <c r="Z20" s="200"/>
      <c r="AA20" s="197">
        <f>IF(ISNA(MATCH(CONCATENATE(AA$2,$A20),'Výsledková listina'!$R:$R,0)),"",INDEX('Výsledková listina'!$B:$B,MATCH(CONCATENATE(AA$2,$A20),'Výsledková listina'!$R:$R,0),1))</f>
      </c>
      <c r="AB20" s="176"/>
      <c r="AC20" s="198">
        <f t="shared" si="10"/>
      </c>
      <c r="AD20" s="199">
        <f t="shared" si="11"/>
      </c>
      <c r="AE20" s="200"/>
      <c r="AF20" s="197">
        <f>IF(ISNA(MATCH(CONCATENATE(AF$2,$A20),'Výsledková listina'!$R:$R,0)),"",INDEX('Výsledková listina'!$B:$B,MATCH(CONCATENATE(AF$2,$A20),'Výsledková listina'!$R:$R,0),1))</f>
      </c>
      <c r="AG20" s="176"/>
      <c r="AH20" s="198">
        <f t="shared" si="12"/>
      </c>
      <c r="AI20" s="199">
        <f t="shared" si="13"/>
      </c>
      <c r="AJ20" s="200"/>
      <c r="AK20" s="197">
        <f>IF(ISNA(MATCH(CONCATENATE(AK$2,$A20),'Výsledková listina'!$R:$R,0)),"",INDEX('Výsledková listina'!$B:$B,MATCH(CONCATENATE(AK$2,$A20),'Výsledková listina'!$R:$R,0),1))</f>
      </c>
      <c r="AL20" s="176"/>
      <c r="AM20" s="198">
        <f t="shared" si="14"/>
      </c>
      <c r="AN20" s="199">
        <f t="shared" si="15"/>
      </c>
      <c r="AO20" s="200"/>
      <c r="AP20" s="197">
        <f>IF(ISNA(MATCH(CONCATENATE(AP$2,$A20),'Výsledková listina'!$R:$R,0)),"",INDEX('Výsledková listina'!$B:$B,MATCH(CONCATENATE(AP$2,$A20),'Výsledková listina'!$R:$R,0),1))</f>
      </c>
      <c r="AQ20" s="176"/>
      <c r="AR20" s="198">
        <f t="shared" si="16"/>
      </c>
      <c r="AS20" s="199">
        <f t="shared" si="17"/>
      </c>
      <c r="AT20" s="200"/>
      <c r="AU20" s="197">
        <f>IF(ISNA(MATCH(CONCATENATE(AU$2,$A20),'Výsledková listina'!$R:$R,0)),"",INDEX('Výsledková listina'!$B:$B,MATCH(CONCATENATE(AU$2,$A20),'Výsledková listina'!$R:$R,0),1))</f>
      </c>
      <c r="AV20" s="176"/>
      <c r="AW20" s="198">
        <f t="shared" si="18"/>
      </c>
      <c r="AX20" s="199">
        <f t="shared" si="19"/>
      </c>
      <c r="AY20" s="200"/>
      <c r="AZ20" s="197">
        <f>IF(ISNA(MATCH(CONCATENATE(AZ$2,$A20),'Výsledková listina'!$R:$R,0)),"",INDEX('Výsledková listina'!$B:$B,MATCH(CONCATENATE(AZ$2,$A20),'Výsledková listina'!$R:$R,0),1))</f>
      </c>
      <c r="BA20" s="176"/>
      <c r="BB20" s="198">
        <f t="shared" si="20"/>
      </c>
      <c r="BC20" s="199">
        <f t="shared" si="21"/>
      </c>
      <c r="BD20" s="200"/>
      <c r="BE20" s="197">
        <f>IF(ISNA(MATCH(CONCATENATE(BE$2,$A20),'Výsledková listina'!$R:$R,0)),"",INDEX('Výsledková listina'!$B:$B,MATCH(CONCATENATE(BE$2,$A20),'Výsledková listina'!$R:$R,0),1))</f>
      </c>
      <c r="BF20" s="176"/>
      <c r="BG20" s="198">
        <f t="shared" si="22"/>
      </c>
      <c r="BH20" s="199">
        <f t="shared" si="23"/>
      </c>
      <c r="BI20" s="200"/>
      <c r="BJ20" s="197">
        <f>IF(ISNA(MATCH(CONCATENATE(BJ$2,$A20),'Výsledková listina'!$R:$R,0)),"",INDEX('Výsledková listina'!$B:$B,MATCH(CONCATENATE(BJ$2,$A20),'Výsledková listina'!$R:$R,0),1))</f>
      </c>
      <c r="BK20" s="176"/>
      <c r="BL20" s="198">
        <f t="shared" si="24"/>
      </c>
      <c r="BM20" s="199">
        <f t="shared" si="25"/>
      </c>
      <c r="BN20" s="200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</row>
    <row r="21" spans="1:137" s="202" customFormat="1" ht="34.5" customHeight="1">
      <c r="A21" s="203">
        <v>18</v>
      </c>
      <c r="B21" s="197">
        <f>IF(ISNA(MATCH(CONCATENATE(B$2,$A21),'Výsledková listina'!$R:$R,0)),"",INDEX('Výsledková listina'!$B:$B,MATCH(CONCATENATE(B$2,$A21),'Výsledková listina'!$R:$R,0),1))</f>
      </c>
      <c r="C21" s="176"/>
      <c r="D21" s="198">
        <f t="shared" si="0"/>
      </c>
      <c r="E21" s="199">
        <f t="shared" si="1"/>
      </c>
      <c r="F21" s="200"/>
      <c r="G21" s="197">
        <f>IF(ISNA(MATCH(CONCATENATE(G$2,$A21),'Výsledková listina'!$R:$R,0)),"",INDEX('Výsledková listina'!$B:$B,MATCH(CONCATENATE(G$2,$A21),'Výsledková listina'!$R:$R,0),1))</f>
      </c>
      <c r="H21" s="176"/>
      <c r="I21" s="198">
        <f t="shared" si="2"/>
      </c>
      <c r="J21" s="199">
        <f t="shared" si="3"/>
      </c>
      <c r="K21" s="200"/>
      <c r="L21" s="197">
        <f>IF(ISNA(MATCH(CONCATENATE(L$2,$A21),'Výsledková listina'!$R:$R,0)),"",INDEX('Výsledková listina'!$B:$B,MATCH(CONCATENATE(L$2,$A21),'Výsledková listina'!$R:$R,0),1))</f>
      </c>
      <c r="M21" s="176"/>
      <c r="N21" s="198">
        <f t="shared" si="4"/>
      </c>
      <c r="O21" s="199">
        <f t="shared" si="5"/>
      </c>
      <c r="P21" s="200"/>
      <c r="Q21" s="197">
        <f>IF(ISNA(MATCH(CONCATENATE(Q$2,$A21),'Výsledková listina'!$R:$R,0)),"",INDEX('Výsledková listina'!$B:$B,MATCH(CONCATENATE(Q$2,$A21),'Výsledková listina'!$R:$R,0),1))</f>
      </c>
      <c r="R21" s="176"/>
      <c r="S21" s="198">
        <f t="shared" si="6"/>
      </c>
      <c r="T21" s="199">
        <f t="shared" si="7"/>
      </c>
      <c r="U21" s="200"/>
      <c r="V21" s="197">
        <f>IF(ISNA(MATCH(CONCATENATE(V$2,$A21),'Výsledková listina'!$R:$R,0)),"",INDEX('Výsledková listina'!$B:$B,MATCH(CONCATENATE(V$2,$A21),'Výsledková listina'!$R:$R,0),1))</f>
      </c>
      <c r="W21" s="176"/>
      <c r="X21" s="198">
        <f t="shared" si="8"/>
      </c>
      <c r="Y21" s="199">
        <f t="shared" si="9"/>
      </c>
      <c r="Z21" s="200"/>
      <c r="AA21" s="197">
        <f>IF(ISNA(MATCH(CONCATENATE(AA$2,$A21),'Výsledková listina'!$R:$R,0)),"",INDEX('Výsledková listina'!$B:$B,MATCH(CONCATENATE(AA$2,$A21),'Výsledková listina'!$R:$R,0),1))</f>
      </c>
      <c r="AB21" s="176"/>
      <c r="AC21" s="198">
        <f t="shared" si="10"/>
      </c>
      <c r="AD21" s="199">
        <f t="shared" si="11"/>
      </c>
      <c r="AE21" s="200"/>
      <c r="AF21" s="197">
        <f>IF(ISNA(MATCH(CONCATENATE(AF$2,$A21),'Výsledková listina'!$R:$R,0)),"",INDEX('Výsledková listina'!$B:$B,MATCH(CONCATENATE(AF$2,$A21),'Výsledková listina'!$R:$R,0),1))</f>
      </c>
      <c r="AG21" s="176"/>
      <c r="AH21" s="198">
        <f t="shared" si="12"/>
      </c>
      <c r="AI21" s="199">
        <f t="shared" si="13"/>
      </c>
      <c r="AJ21" s="200"/>
      <c r="AK21" s="197">
        <f>IF(ISNA(MATCH(CONCATENATE(AK$2,$A21),'Výsledková listina'!$R:$R,0)),"",INDEX('Výsledková listina'!$B:$B,MATCH(CONCATENATE(AK$2,$A21),'Výsledková listina'!$R:$R,0),1))</f>
      </c>
      <c r="AL21" s="176"/>
      <c r="AM21" s="198">
        <f t="shared" si="14"/>
      </c>
      <c r="AN21" s="199">
        <f t="shared" si="15"/>
      </c>
      <c r="AO21" s="200"/>
      <c r="AP21" s="197">
        <f>IF(ISNA(MATCH(CONCATENATE(AP$2,$A21),'Výsledková listina'!$R:$R,0)),"",INDEX('Výsledková listina'!$B:$B,MATCH(CONCATENATE(AP$2,$A21),'Výsledková listina'!$R:$R,0),1))</f>
      </c>
      <c r="AQ21" s="176"/>
      <c r="AR21" s="198">
        <f t="shared" si="16"/>
      </c>
      <c r="AS21" s="199">
        <f t="shared" si="17"/>
      </c>
      <c r="AT21" s="200"/>
      <c r="AU21" s="197">
        <f>IF(ISNA(MATCH(CONCATENATE(AU$2,$A21),'Výsledková listina'!$R:$R,0)),"",INDEX('Výsledková listina'!$B:$B,MATCH(CONCATENATE(AU$2,$A21),'Výsledková listina'!$R:$R,0),1))</f>
      </c>
      <c r="AV21" s="176"/>
      <c r="AW21" s="198">
        <f t="shared" si="18"/>
      </c>
      <c r="AX21" s="199">
        <f t="shared" si="19"/>
      </c>
      <c r="AY21" s="200"/>
      <c r="AZ21" s="197">
        <f>IF(ISNA(MATCH(CONCATENATE(AZ$2,$A21),'Výsledková listina'!$R:$R,0)),"",INDEX('Výsledková listina'!$B:$B,MATCH(CONCATENATE(AZ$2,$A21),'Výsledková listina'!$R:$R,0),1))</f>
      </c>
      <c r="BA21" s="176"/>
      <c r="BB21" s="198">
        <f t="shared" si="20"/>
      </c>
      <c r="BC21" s="199">
        <f t="shared" si="21"/>
      </c>
      <c r="BD21" s="200"/>
      <c r="BE21" s="197">
        <f>IF(ISNA(MATCH(CONCATENATE(BE$2,$A21),'Výsledková listina'!$R:$R,0)),"",INDEX('Výsledková listina'!$B:$B,MATCH(CONCATENATE(BE$2,$A21),'Výsledková listina'!$R:$R,0),1))</f>
      </c>
      <c r="BF21" s="176"/>
      <c r="BG21" s="198">
        <f t="shared" si="22"/>
      </c>
      <c r="BH21" s="199">
        <f t="shared" si="23"/>
      </c>
      <c r="BI21" s="200"/>
      <c r="BJ21" s="197">
        <f>IF(ISNA(MATCH(CONCATENATE(BJ$2,$A21),'Výsledková listina'!$R:$R,0)),"",INDEX('Výsledková listina'!$B:$B,MATCH(CONCATENATE(BJ$2,$A21),'Výsledková listina'!$R:$R,0),1))</f>
      </c>
      <c r="BK21" s="176"/>
      <c r="BL21" s="198">
        <f t="shared" si="24"/>
      </c>
      <c r="BM21" s="199">
        <f t="shared" si="25"/>
      </c>
      <c r="BN21" s="200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</row>
    <row r="22" spans="1:137" s="202" customFormat="1" ht="34.5" customHeight="1">
      <c r="A22" s="203">
        <v>19</v>
      </c>
      <c r="B22" s="197">
        <f>IF(ISNA(MATCH(CONCATENATE(B$2,$A22),'Výsledková listina'!$R:$R,0)),"",INDEX('Výsledková listina'!$B:$B,MATCH(CONCATENATE(B$2,$A22),'Výsledková listina'!$R:$R,0),1))</f>
      </c>
      <c r="C22" s="176"/>
      <c r="D22" s="198">
        <f t="shared" si="0"/>
      </c>
      <c r="E22" s="199">
        <f t="shared" si="1"/>
      </c>
      <c r="F22" s="200"/>
      <c r="G22" s="197">
        <f>IF(ISNA(MATCH(CONCATENATE(G$2,$A22),'Výsledková listina'!$R:$R,0)),"",INDEX('Výsledková listina'!$B:$B,MATCH(CONCATENATE(G$2,$A22),'Výsledková listina'!$R:$R,0),1))</f>
      </c>
      <c r="H22" s="176"/>
      <c r="I22" s="198">
        <f t="shared" si="2"/>
      </c>
      <c r="J22" s="199">
        <f t="shared" si="3"/>
      </c>
      <c r="K22" s="200"/>
      <c r="L22" s="197">
        <f>IF(ISNA(MATCH(CONCATENATE(L$2,$A22),'Výsledková listina'!$R:$R,0)),"",INDEX('Výsledková listina'!$B:$B,MATCH(CONCATENATE(L$2,$A22),'Výsledková listina'!$R:$R,0),1))</f>
      </c>
      <c r="M22" s="176"/>
      <c r="N22" s="198">
        <f t="shared" si="4"/>
      </c>
      <c r="O22" s="199">
        <f t="shared" si="5"/>
      </c>
      <c r="P22" s="200"/>
      <c r="Q22" s="197">
        <f>IF(ISNA(MATCH(CONCATENATE(Q$2,$A22),'Výsledková listina'!$R:$R,0)),"",INDEX('Výsledková listina'!$B:$B,MATCH(CONCATENATE(Q$2,$A22),'Výsledková listina'!$R:$R,0),1))</f>
      </c>
      <c r="R22" s="176"/>
      <c r="S22" s="198">
        <f t="shared" si="6"/>
      </c>
      <c r="T22" s="199">
        <f t="shared" si="7"/>
      </c>
      <c r="U22" s="200"/>
      <c r="V22" s="197">
        <f>IF(ISNA(MATCH(CONCATENATE(V$2,$A22),'Výsledková listina'!$R:$R,0)),"",INDEX('Výsledková listina'!$B:$B,MATCH(CONCATENATE(V$2,$A22),'Výsledková listina'!$R:$R,0),1))</f>
      </c>
      <c r="W22" s="176"/>
      <c r="X22" s="198">
        <f t="shared" si="8"/>
      </c>
      <c r="Y22" s="199">
        <f t="shared" si="9"/>
      </c>
      <c r="Z22" s="200"/>
      <c r="AA22" s="197">
        <f>IF(ISNA(MATCH(CONCATENATE(AA$2,$A22),'Výsledková listina'!$R:$R,0)),"",INDEX('Výsledková listina'!$B:$B,MATCH(CONCATENATE(AA$2,$A22),'Výsledková listina'!$R:$R,0),1))</f>
      </c>
      <c r="AB22" s="176"/>
      <c r="AC22" s="198">
        <f t="shared" si="10"/>
      </c>
      <c r="AD22" s="199">
        <f t="shared" si="11"/>
      </c>
      <c r="AE22" s="200"/>
      <c r="AF22" s="197">
        <f>IF(ISNA(MATCH(CONCATENATE(AF$2,$A22),'Výsledková listina'!$R:$R,0)),"",INDEX('Výsledková listina'!$B:$B,MATCH(CONCATENATE(AF$2,$A22),'Výsledková listina'!$R:$R,0),1))</f>
      </c>
      <c r="AG22" s="176"/>
      <c r="AH22" s="198">
        <f t="shared" si="12"/>
      </c>
      <c r="AI22" s="199">
        <f t="shared" si="13"/>
      </c>
      <c r="AJ22" s="200"/>
      <c r="AK22" s="197">
        <f>IF(ISNA(MATCH(CONCATENATE(AK$2,$A22),'Výsledková listina'!$R:$R,0)),"",INDEX('Výsledková listina'!$B:$B,MATCH(CONCATENATE(AK$2,$A22),'Výsledková listina'!$R:$R,0),1))</f>
      </c>
      <c r="AL22" s="176"/>
      <c r="AM22" s="198">
        <f t="shared" si="14"/>
      </c>
      <c r="AN22" s="199">
        <f t="shared" si="15"/>
      </c>
      <c r="AO22" s="200"/>
      <c r="AP22" s="197">
        <f>IF(ISNA(MATCH(CONCATENATE(AP$2,$A22),'Výsledková listina'!$R:$R,0)),"",INDEX('Výsledková listina'!$B:$B,MATCH(CONCATENATE(AP$2,$A22),'Výsledková listina'!$R:$R,0),1))</f>
      </c>
      <c r="AQ22" s="176"/>
      <c r="AR22" s="198">
        <f t="shared" si="16"/>
      </c>
      <c r="AS22" s="199">
        <f t="shared" si="17"/>
      </c>
      <c r="AT22" s="200"/>
      <c r="AU22" s="197">
        <f>IF(ISNA(MATCH(CONCATENATE(AU$2,$A22),'Výsledková listina'!$R:$R,0)),"",INDEX('Výsledková listina'!$B:$B,MATCH(CONCATENATE(AU$2,$A22),'Výsledková listina'!$R:$R,0),1))</f>
      </c>
      <c r="AV22" s="176"/>
      <c r="AW22" s="198">
        <f t="shared" si="18"/>
      </c>
      <c r="AX22" s="199">
        <f t="shared" si="19"/>
      </c>
      <c r="AY22" s="200"/>
      <c r="AZ22" s="197">
        <f>IF(ISNA(MATCH(CONCATENATE(AZ$2,$A22),'Výsledková listina'!$R:$R,0)),"",INDEX('Výsledková listina'!$B:$B,MATCH(CONCATENATE(AZ$2,$A22),'Výsledková listina'!$R:$R,0),1))</f>
      </c>
      <c r="BA22" s="176"/>
      <c r="BB22" s="198">
        <f t="shared" si="20"/>
      </c>
      <c r="BC22" s="199">
        <f t="shared" si="21"/>
      </c>
      <c r="BD22" s="200"/>
      <c r="BE22" s="197">
        <f>IF(ISNA(MATCH(CONCATENATE(BE$2,$A22),'Výsledková listina'!$R:$R,0)),"",INDEX('Výsledková listina'!$B:$B,MATCH(CONCATENATE(BE$2,$A22),'Výsledková listina'!$R:$R,0),1))</f>
      </c>
      <c r="BF22" s="176"/>
      <c r="BG22" s="198">
        <f t="shared" si="22"/>
      </c>
      <c r="BH22" s="199">
        <f t="shared" si="23"/>
      </c>
      <c r="BI22" s="200"/>
      <c r="BJ22" s="197">
        <f>IF(ISNA(MATCH(CONCATENATE(BJ$2,$A22),'Výsledková listina'!$R:$R,0)),"",INDEX('Výsledková listina'!$B:$B,MATCH(CONCATENATE(BJ$2,$A22),'Výsledková listina'!$R:$R,0),1))</f>
      </c>
      <c r="BK22" s="176"/>
      <c r="BL22" s="198">
        <f t="shared" si="24"/>
      </c>
      <c r="BM22" s="199">
        <f t="shared" si="25"/>
      </c>
      <c r="BN22" s="200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</row>
    <row r="23" spans="1:137" s="202" customFormat="1" ht="34.5" customHeight="1">
      <c r="A23" s="203">
        <v>20</v>
      </c>
      <c r="B23" s="197">
        <f>IF(ISNA(MATCH(CONCATENATE(B$2,$A23),'Výsledková listina'!$R:$R,0)),"",INDEX('Výsledková listina'!$B:$B,MATCH(CONCATENATE(B$2,$A23),'Výsledková listina'!$R:$R,0),1))</f>
      </c>
      <c r="C23" s="176"/>
      <c r="D23" s="198">
        <f t="shared" si="0"/>
      </c>
      <c r="E23" s="199">
        <f t="shared" si="1"/>
      </c>
      <c r="F23" s="200"/>
      <c r="G23" s="197">
        <f>IF(ISNA(MATCH(CONCATENATE(G$2,$A23),'Výsledková listina'!$R:$R,0)),"",INDEX('Výsledková listina'!$B:$B,MATCH(CONCATENATE(G$2,$A23),'Výsledková listina'!$R:$R,0),1))</f>
      </c>
      <c r="H23" s="176"/>
      <c r="I23" s="198">
        <f t="shared" si="2"/>
      </c>
      <c r="J23" s="199">
        <f t="shared" si="3"/>
      </c>
      <c r="K23" s="200"/>
      <c r="L23" s="197">
        <f>IF(ISNA(MATCH(CONCATENATE(L$2,$A23),'Výsledková listina'!$R:$R,0)),"",INDEX('Výsledková listina'!$B:$B,MATCH(CONCATENATE(L$2,$A23),'Výsledková listina'!$R:$R,0),1))</f>
      </c>
      <c r="M23" s="176"/>
      <c r="N23" s="198">
        <f t="shared" si="4"/>
      </c>
      <c r="O23" s="199">
        <f t="shared" si="5"/>
      </c>
      <c r="P23" s="200"/>
      <c r="Q23" s="197">
        <f>IF(ISNA(MATCH(CONCATENATE(Q$2,$A23),'Výsledková listina'!$R:$R,0)),"",INDEX('Výsledková listina'!$B:$B,MATCH(CONCATENATE(Q$2,$A23),'Výsledková listina'!$R:$R,0),1))</f>
      </c>
      <c r="R23" s="176"/>
      <c r="S23" s="198">
        <f t="shared" si="6"/>
      </c>
      <c r="T23" s="199">
        <f t="shared" si="7"/>
      </c>
      <c r="U23" s="200"/>
      <c r="V23" s="197">
        <f>IF(ISNA(MATCH(CONCATENATE(V$2,$A23),'Výsledková listina'!$R:$R,0)),"",INDEX('Výsledková listina'!$B:$B,MATCH(CONCATENATE(V$2,$A23),'Výsledková listina'!$R:$R,0),1))</f>
      </c>
      <c r="W23" s="176"/>
      <c r="X23" s="198">
        <f t="shared" si="8"/>
      </c>
      <c r="Y23" s="199">
        <f t="shared" si="9"/>
      </c>
      <c r="Z23" s="200"/>
      <c r="AA23" s="197">
        <f>IF(ISNA(MATCH(CONCATENATE(AA$2,$A23),'Výsledková listina'!$R:$R,0)),"",INDEX('Výsledková listina'!$B:$B,MATCH(CONCATENATE(AA$2,$A23),'Výsledková listina'!$R:$R,0),1))</f>
      </c>
      <c r="AB23" s="176"/>
      <c r="AC23" s="198">
        <f t="shared" si="10"/>
      </c>
      <c r="AD23" s="199">
        <f t="shared" si="11"/>
      </c>
      <c r="AE23" s="200"/>
      <c r="AF23" s="197">
        <f>IF(ISNA(MATCH(CONCATENATE(AF$2,$A23),'Výsledková listina'!$R:$R,0)),"",INDEX('Výsledková listina'!$B:$B,MATCH(CONCATENATE(AF$2,$A23),'Výsledková listina'!$R:$R,0),1))</f>
      </c>
      <c r="AG23" s="176"/>
      <c r="AH23" s="198">
        <f t="shared" si="12"/>
      </c>
      <c r="AI23" s="199">
        <f t="shared" si="13"/>
      </c>
      <c r="AJ23" s="200"/>
      <c r="AK23" s="197">
        <f>IF(ISNA(MATCH(CONCATENATE(AK$2,$A23),'Výsledková listina'!$R:$R,0)),"",INDEX('Výsledková listina'!$B:$B,MATCH(CONCATENATE(AK$2,$A23),'Výsledková listina'!$R:$R,0),1))</f>
      </c>
      <c r="AL23" s="176"/>
      <c r="AM23" s="198">
        <f t="shared" si="14"/>
      </c>
      <c r="AN23" s="199">
        <f t="shared" si="15"/>
      </c>
      <c r="AO23" s="200"/>
      <c r="AP23" s="197">
        <f>IF(ISNA(MATCH(CONCATENATE(AP$2,$A23),'Výsledková listina'!$R:$R,0)),"",INDEX('Výsledková listina'!$B:$B,MATCH(CONCATENATE(AP$2,$A23),'Výsledková listina'!$R:$R,0),1))</f>
      </c>
      <c r="AQ23" s="176"/>
      <c r="AR23" s="198">
        <f t="shared" si="16"/>
      </c>
      <c r="AS23" s="199">
        <f t="shared" si="17"/>
      </c>
      <c r="AT23" s="200"/>
      <c r="AU23" s="197">
        <f>IF(ISNA(MATCH(CONCATENATE(AU$2,$A23),'Výsledková listina'!$R:$R,0)),"",INDEX('Výsledková listina'!$B:$B,MATCH(CONCATENATE(AU$2,$A23),'Výsledková listina'!$R:$R,0),1))</f>
      </c>
      <c r="AV23" s="176"/>
      <c r="AW23" s="198">
        <f t="shared" si="18"/>
      </c>
      <c r="AX23" s="199">
        <f t="shared" si="19"/>
      </c>
      <c r="AY23" s="200"/>
      <c r="AZ23" s="197">
        <f>IF(ISNA(MATCH(CONCATENATE(AZ$2,$A23),'Výsledková listina'!$R:$R,0)),"",INDEX('Výsledková listina'!$B:$B,MATCH(CONCATENATE(AZ$2,$A23),'Výsledková listina'!$R:$R,0),1))</f>
      </c>
      <c r="BA23" s="176"/>
      <c r="BB23" s="198">
        <f t="shared" si="20"/>
      </c>
      <c r="BC23" s="199">
        <f t="shared" si="21"/>
      </c>
      <c r="BD23" s="200"/>
      <c r="BE23" s="197">
        <f>IF(ISNA(MATCH(CONCATENATE(BE$2,$A23),'Výsledková listina'!$R:$R,0)),"",INDEX('Výsledková listina'!$B:$B,MATCH(CONCATENATE(BE$2,$A23),'Výsledková listina'!$R:$R,0),1))</f>
      </c>
      <c r="BF23" s="176"/>
      <c r="BG23" s="198">
        <f t="shared" si="22"/>
      </c>
      <c r="BH23" s="199">
        <f t="shared" si="23"/>
      </c>
      <c r="BI23" s="200"/>
      <c r="BJ23" s="197">
        <f>IF(ISNA(MATCH(CONCATENATE(BJ$2,$A23),'Výsledková listina'!$R:$R,0)),"",INDEX('Výsledková listina'!$B:$B,MATCH(CONCATENATE(BJ$2,$A23),'Výsledková listina'!$R:$R,0),1))</f>
      </c>
      <c r="BK23" s="176"/>
      <c r="BL23" s="198">
        <f t="shared" si="24"/>
      </c>
      <c r="BM23" s="199">
        <f t="shared" si="25"/>
      </c>
      <c r="BN23" s="200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</row>
    <row r="24" spans="1:137" s="202" customFormat="1" ht="34.5" customHeight="1">
      <c r="A24" s="203">
        <v>21</v>
      </c>
      <c r="B24" s="197">
        <f>IF(ISNA(MATCH(CONCATENATE(B$2,$A24),'Výsledková listina'!$R:$R,0)),"",INDEX('Výsledková listina'!$B:$B,MATCH(CONCATENATE(B$2,$A24),'Výsledková listina'!$R:$R,0),1))</f>
      </c>
      <c r="C24" s="176"/>
      <c r="D24" s="198">
        <f t="shared" si="0"/>
      </c>
      <c r="E24" s="199">
        <f t="shared" si="1"/>
      </c>
      <c r="F24" s="200"/>
      <c r="G24" s="197">
        <f>IF(ISNA(MATCH(CONCATENATE(G$2,$A24),'Výsledková listina'!$R:$R,0)),"",INDEX('Výsledková listina'!$B:$B,MATCH(CONCATENATE(G$2,$A24),'Výsledková listina'!$R:$R,0),1))</f>
      </c>
      <c r="H24" s="176"/>
      <c r="I24" s="198">
        <f t="shared" si="2"/>
      </c>
      <c r="J24" s="199">
        <f t="shared" si="3"/>
      </c>
      <c r="K24" s="200"/>
      <c r="L24" s="197">
        <f>IF(ISNA(MATCH(CONCATENATE(L$2,$A24),'Výsledková listina'!$R:$R,0)),"",INDEX('Výsledková listina'!$B:$B,MATCH(CONCATENATE(L$2,$A24),'Výsledková listina'!$R:$R,0),1))</f>
      </c>
      <c r="M24" s="176"/>
      <c r="N24" s="198">
        <f t="shared" si="4"/>
      </c>
      <c r="O24" s="199">
        <f t="shared" si="5"/>
      </c>
      <c r="P24" s="200"/>
      <c r="Q24" s="197">
        <f>IF(ISNA(MATCH(CONCATENATE(Q$2,$A24),'Výsledková listina'!$R:$R,0)),"",INDEX('Výsledková listina'!$B:$B,MATCH(CONCATENATE(Q$2,$A24),'Výsledková listina'!$R:$R,0),1))</f>
      </c>
      <c r="R24" s="176"/>
      <c r="S24" s="198">
        <f t="shared" si="6"/>
      </c>
      <c r="T24" s="199">
        <f t="shared" si="7"/>
      </c>
      <c r="U24" s="200"/>
      <c r="V24" s="197">
        <f>IF(ISNA(MATCH(CONCATENATE(V$2,$A24),'Výsledková listina'!$R:$R,0)),"",INDEX('Výsledková listina'!$B:$B,MATCH(CONCATENATE(V$2,$A24),'Výsledková listina'!$R:$R,0),1))</f>
      </c>
      <c r="W24" s="176"/>
      <c r="X24" s="198">
        <f t="shared" si="8"/>
      </c>
      <c r="Y24" s="199">
        <f t="shared" si="9"/>
      </c>
      <c r="Z24" s="200"/>
      <c r="AA24" s="197">
        <f>IF(ISNA(MATCH(CONCATENATE(AA$2,$A24),'Výsledková listina'!$R:$R,0)),"",INDEX('Výsledková listina'!$B:$B,MATCH(CONCATENATE(AA$2,$A24),'Výsledková listina'!$R:$R,0),1))</f>
      </c>
      <c r="AB24" s="176"/>
      <c r="AC24" s="198">
        <f t="shared" si="10"/>
      </c>
      <c r="AD24" s="199">
        <f t="shared" si="11"/>
      </c>
      <c r="AE24" s="200"/>
      <c r="AF24" s="197">
        <f>IF(ISNA(MATCH(CONCATENATE(AF$2,$A24),'Výsledková listina'!$R:$R,0)),"",INDEX('Výsledková listina'!$B:$B,MATCH(CONCATENATE(AF$2,$A24),'Výsledková listina'!$R:$R,0),1))</f>
      </c>
      <c r="AG24" s="176"/>
      <c r="AH24" s="198">
        <f t="shared" si="12"/>
      </c>
      <c r="AI24" s="199">
        <f t="shared" si="13"/>
      </c>
      <c r="AJ24" s="200"/>
      <c r="AK24" s="197">
        <f>IF(ISNA(MATCH(CONCATENATE(AK$2,$A24),'Výsledková listina'!$R:$R,0)),"",INDEX('Výsledková listina'!$B:$B,MATCH(CONCATENATE(AK$2,$A24),'Výsledková listina'!$R:$R,0),1))</f>
      </c>
      <c r="AL24" s="176"/>
      <c r="AM24" s="198">
        <f t="shared" si="14"/>
      </c>
      <c r="AN24" s="199">
        <f t="shared" si="15"/>
      </c>
      <c r="AO24" s="200"/>
      <c r="AP24" s="197">
        <f>IF(ISNA(MATCH(CONCATENATE(AP$2,$A24),'Výsledková listina'!$R:$R,0)),"",INDEX('Výsledková listina'!$B:$B,MATCH(CONCATENATE(AP$2,$A24),'Výsledková listina'!$R:$R,0),1))</f>
      </c>
      <c r="AQ24" s="176"/>
      <c r="AR24" s="198">
        <f t="shared" si="16"/>
      </c>
      <c r="AS24" s="199">
        <f t="shared" si="17"/>
      </c>
      <c r="AT24" s="200"/>
      <c r="AU24" s="197">
        <f>IF(ISNA(MATCH(CONCATENATE(AU$2,$A24),'Výsledková listina'!$R:$R,0)),"",INDEX('Výsledková listina'!$B:$B,MATCH(CONCATENATE(AU$2,$A24),'Výsledková listina'!$R:$R,0),1))</f>
      </c>
      <c r="AV24" s="176"/>
      <c r="AW24" s="198">
        <f t="shared" si="18"/>
      </c>
      <c r="AX24" s="199">
        <f t="shared" si="19"/>
      </c>
      <c r="AY24" s="200"/>
      <c r="AZ24" s="197">
        <f>IF(ISNA(MATCH(CONCATENATE(AZ$2,$A24),'Výsledková listina'!$R:$R,0)),"",INDEX('Výsledková listina'!$B:$B,MATCH(CONCATENATE(AZ$2,$A24),'Výsledková listina'!$R:$R,0),1))</f>
      </c>
      <c r="BA24" s="176"/>
      <c r="BB24" s="198">
        <f t="shared" si="20"/>
      </c>
      <c r="BC24" s="199">
        <f t="shared" si="21"/>
      </c>
      <c r="BD24" s="200"/>
      <c r="BE24" s="197">
        <f>IF(ISNA(MATCH(CONCATENATE(BE$2,$A24),'Výsledková listina'!$R:$R,0)),"",INDEX('Výsledková listina'!$B:$B,MATCH(CONCATENATE(BE$2,$A24),'Výsledková listina'!$R:$R,0),1))</f>
      </c>
      <c r="BF24" s="176"/>
      <c r="BG24" s="198">
        <f t="shared" si="22"/>
      </c>
      <c r="BH24" s="199">
        <f t="shared" si="23"/>
      </c>
      <c r="BI24" s="200"/>
      <c r="BJ24" s="197">
        <f>IF(ISNA(MATCH(CONCATENATE(BJ$2,$A24),'Výsledková listina'!$R:$R,0)),"",INDEX('Výsledková listina'!$B:$B,MATCH(CONCATENATE(BJ$2,$A24),'Výsledková listina'!$R:$R,0),1))</f>
      </c>
      <c r="BK24" s="176"/>
      <c r="BL24" s="198">
        <f t="shared" si="24"/>
      </c>
      <c r="BM24" s="199">
        <f t="shared" si="25"/>
      </c>
      <c r="BN24" s="200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</row>
    <row r="25" spans="1:137" s="202" customFormat="1" ht="34.5" customHeight="1">
      <c r="A25" s="203">
        <v>22</v>
      </c>
      <c r="B25" s="197">
        <f>IF(ISNA(MATCH(CONCATENATE(B$2,$A25),'Výsledková listina'!$R:$R,0)),"",INDEX('Výsledková listina'!$B:$B,MATCH(CONCATENATE(B$2,$A25),'Výsledková listina'!$R:$R,0),1))</f>
      </c>
      <c r="C25" s="176"/>
      <c r="D25" s="198">
        <f t="shared" si="0"/>
      </c>
      <c r="E25" s="199">
        <f t="shared" si="1"/>
      </c>
      <c r="F25" s="200"/>
      <c r="G25" s="197">
        <f>IF(ISNA(MATCH(CONCATENATE(G$2,$A25),'Výsledková listina'!$R:$R,0)),"",INDEX('Výsledková listina'!$B:$B,MATCH(CONCATENATE(G$2,$A25),'Výsledková listina'!$R:$R,0),1))</f>
      </c>
      <c r="H25" s="176"/>
      <c r="I25" s="198">
        <f t="shared" si="2"/>
      </c>
      <c r="J25" s="199">
        <f t="shared" si="3"/>
      </c>
      <c r="K25" s="200"/>
      <c r="L25" s="197">
        <f>IF(ISNA(MATCH(CONCATENATE(L$2,$A25),'Výsledková listina'!$R:$R,0)),"",INDEX('Výsledková listina'!$B:$B,MATCH(CONCATENATE(L$2,$A25),'Výsledková listina'!$R:$R,0),1))</f>
      </c>
      <c r="M25" s="176"/>
      <c r="N25" s="198">
        <f t="shared" si="4"/>
      </c>
      <c r="O25" s="199">
        <f t="shared" si="5"/>
      </c>
      <c r="P25" s="200"/>
      <c r="Q25" s="197">
        <f>IF(ISNA(MATCH(CONCATENATE(Q$2,$A25),'Výsledková listina'!$R:$R,0)),"",INDEX('Výsledková listina'!$B:$B,MATCH(CONCATENATE(Q$2,$A25),'Výsledková listina'!$R:$R,0),1))</f>
      </c>
      <c r="R25" s="176"/>
      <c r="S25" s="198">
        <f t="shared" si="6"/>
      </c>
      <c r="T25" s="199">
        <f t="shared" si="7"/>
      </c>
      <c r="U25" s="200"/>
      <c r="V25" s="197">
        <f>IF(ISNA(MATCH(CONCATENATE(V$2,$A25),'Výsledková listina'!$R:$R,0)),"",INDEX('Výsledková listina'!$B:$B,MATCH(CONCATENATE(V$2,$A25),'Výsledková listina'!$R:$R,0),1))</f>
      </c>
      <c r="W25" s="176"/>
      <c r="X25" s="198">
        <f t="shared" si="8"/>
      </c>
      <c r="Y25" s="199">
        <f t="shared" si="9"/>
      </c>
      <c r="Z25" s="200"/>
      <c r="AA25" s="197">
        <f>IF(ISNA(MATCH(CONCATENATE(AA$2,$A25),'Výsledková listina'!$R:$R,0)),"",INDEX('Výsledková listina'!$B:$B,MATCH(CONCATENATE(AA$2,$A25),'Výsledková listina'!$R:$R,0),1))</f>
      </c>
      <c r="AB25" s="176"/>
      <c r="AC25" s="198">
        <f t="shared" si="10"/>
      </c>
      <c r="AD25" s="199">
        <f t="shared" si="11"/>
      </c>
      <c r="AE25" s="200"/>
      <c r="AF25" s="197">
        <f>IF(ISNA(MATCH(CONCATENATE(AF$2,$A25),'Výsledková listina'!$R:$R,0)),"",INDEX('Výsledková listina'!$B:$B,MATCH(CONCATENATE(AF$2,$A25),'Výsledková listina'!$R:$R,0),1))</f>
      </c>
      <c r="AG25" s="176"/>
      <c r="AH25" s="198">
        <f t="shared" si="12"/>
      </c>
      <c r="AI25" s="199">
        <f t="shared" si="13"/>
      </c>
      <c r="AJ25" s="200"/>
      <c r="AK25" s="197">
        <f>IF(ISNA(MATCH(CONCATENATE(AK$2,$A25),'Výsledková listina'!$R:$R,0)),"",INDEX('Výsledková listina'!$B:$B,MATCH(CONCATENATE(AK$2,$A25),'Výsledková listina'!$R:$R,0),1))</f>
      </c>
      <c r="AL25" s="176"/>
      <c r="AM25" s="198">
        <f t="shared" si="14"/>
      </c>
      <c r="AN25" s="199">
        <f t="shared" si="15"/>
      </c>
      <c r="AO25" s="200"/>
      <c r="AP25" s="197">
        <f>IF(ISNA(MATCH(CONCATENATE(AP$2,$A25),'Výsledková listina'!$R:$R,0)),"",INDEX('Výsledková listina'!$B:$B,MATCH(CONCATENATE(AP$2,$A25),'Výsledková listina'!$R:$R,0),1))</f>
      </c>
      <c r="AQ25" s="176"/>
      <c r="AR25" s="198">
        <f t="shared" si="16"/>
      </c>
      <c r="AS25" s="199">
        <f t="shared" si="17"/>
      </c>
      <c r="AT25" s="200"/>
      <c r="AU25" s="197">
        <f>IF(ISNA(MATCH(CONCATENATE(AU$2,$A25),'Výsledková listina'!$R:$R,0)),"",INDEX('Výsledková listina'!$B:$B,MATCH(CONCATENATE(AU$2,$A25),'Výsledková listina'!$R:$R,0),1))</f>
      </c>
      <c r="AV25" s="176"/>
      <c r="AW25" s="198">
        <f t="shared" si="18"/>
      </c>
      <c r="AX25" s="199">
        <f t="shared" si="19"/>
      </c>
      <c r="AY25" s="200"/>
      <c r="AZ25" s="197">
        <f>IF(ISNA(MATCH(CONCATENATE(AZ$2,$A25),'Výsledková listina'!$R:$R,0)),"",INDEX('Výsledková listina'!$B:$B,MATCH(CONCATENATE(AZ$2,$A25),'Výsledková listina'!$R:$R,0),1))</f>
      </c>
      <c r="BA25" s="176"/>
      <c r="BB25" s="198">
        <f t="shared" si="20"/>
      </c>
      <c r="BC25" s="199">
        <f t="shared" si="21"/>
      </c>
      <c r="BD25" s="200"/>
      <c r="BE25" s="197">
        <f>IF(ISNA(MATCH(CONCATENATE(BE$2,$A25),'Výsledková listina'!$R:$R,0)),"",INDEX('Výsledková listina'!$B:$B,MATCH(CONCATENATE(BE$2,$A25),'Výsledková listina'!$R:$R,0),1))</f>
      </c>
      <c r="BF25" s="176"/>
      <c r="BG25" s="198">
        <f t="shared" si="22"/>
      </c>
      <c r="BH25" s="199">
        <f t="shared" si="23"/>
      </c>
      <c r="BI25" s="200"/>
      <c r="BJ25" s="197">
        <f>IF(ISNA(MATCH(CONCATENATE(BJ$2,$A25),'Výsledková listina'!$R:$R,0)),"",INDEX('Výsledková listina'!$B:$B,MATCH(CONCATENATE(BJ$2,$A25),'Výsledková listina'!$R:$R,0),1))</f>
      </c>
      <c r="BK25" s="176"/>
      <c r="BL25" s="198">
        <f t="shared" si="24"/>
      </c>
      <c r="BM25" s="199">
        <f t="shared" si="25"/>
      </c>
      <c r="BN25" s="200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</row>
    <row r="26" spans="1:137" s="202" customFormat="1" ht="34.5" customHeight="1">
      <c r="A26" s="203">
        <v>23</v>
      </c>
      <c r="B26" s="197">
        <f>IF(ISNA(MATCH(CONCATENATE(B$2,$A26),'Výsledková listina'!$R:$R,0)),"",INDEX('Výsledková listina'!$B:$B,MATCH(CONCATENATE(B$2,$A26),'Výsledková listina'!$R:$R,0),1))</f>
      </c>
      <c r="C26" s="176"/>
      <c r="D26" s="198">
        <f t="shared" si="0"/>
      </c>
      <c r="E26" s="199">
        <f t="shared" si="1"/>
      </c>
      <c r="F26" s="200"/>
      <c r="G26" s="197">
        <f>IF(ISNA(MATCH(CONCATENATE(G$2,$A26),'Výsledková listina'!$R:$R,0)),"",INDEX('Výsledková listina'!$B:$B,MATCH(CONCATENATE(G$2,$A26),'Výsledková listina'!$R:$R,0),1))</f>
      </c>
      <c r="H26" s="176"/>
      <c r="I26" s="198">
        <f t="shared" si="2"/>
      </c>
      <c r="J26" s="199">
        <f t="shared" si="3"/>
      </c>
      <c r="K26" s="200"/>
      <c r="L26" s="197">
        <f>IF(ISNA(MATCH(CONCATENATE(L$2,$A26),'Výsledková listina'!$R:$R,0)),"",INDEX('Výsledková listina'!$B:$B,MATCH(CONCATENATE(L$2,$A26),'Výsledková listina'!$R:$R,0),1))</f>
      </c>
      <c r="M26" s="176"/>
      <c r="N26" s="198">
        <f t="shared" si="4"/>
      </c>
      <c r="O26" s="199">
        <f t="shared" si="5"/>
      </c>
      <c r="P26" s="200"/>
      <c r="Q26" s="197">
        <f>IF(ISNA(MATCH(CONCATENATE(Q$2,$A26),'Výsledková listina'!$R:$R,0)),"",INDEX('Výsledková listina'!$B:$B,MATCH(CONCATENATE(Q$2,$A26),'Výsledková listina'!$R:$R,0),1))</f>
      </c>
      <c r="R26" s="176"/>
      <c r="S26" s="198">
        <f t="shared" si="6"/>
      </c>
      <c r="T26" s="199">
        <f t="shared" si="7"/>
      </c>
      <c r="U26" s="200"/>
      <c r="V26" s="197">
        <f>IF(ISNA(MATCH(CONCATENATE(V$2,$A26),'Výsledková listina'!$R:$R,0)),"",INDEX('Výsledková listina'!$B:$B,MATCH(CONCATENATE(V$2,$A26),'Výsledková listina'!$R:$R,0),1))</f>
      </c>
      <c r="W26" s="176"/>
      <c r="X26" s="198">
        <f t="shared" si="8"/>
      </c>
      <c r="Y26" s="199">
        <f t="shared" si="9"/>
      </c>
      <c r="Z26" s="200"/>
      <c r="AA26" s="197">
        <f>IF(ISNA(MATCH(CONCATENATE(AA$2,$A26),'Výsledková listina'!$R:$R,0)),"",INDEX('Výsledková listina'!$B:$B,MATCH(CONCATENATE(AA$2,$A26),'Výsledková listina'!$R:$R,0),1))</f>
      </c>
      <c r="AB26" s="176"/>
      <c r="AC26" s="198">
        <f t="shared" si="10"/>
      </c>
      <c r="AD26" s="199">
        <f t="shared" si="11"/>
      </c>
      <c r="AE26" s="200"/>
      <c r="AF26" s="197">
        <f>IF(ISNA(MATCH(CONCATENATE(AF$2,$A26),'Výsledková listina'!$R:$R,0)),"",INDEX('Výsledková listina'!$B:$B,MATCH(CONCATENATE(AF$2,$A26),'Výsledková listina'!$R:$R,0),1))</f>
      </c>
      <c r="AG26" s="176"/>
      <c r="AH26" s="198">
        <f t="shared" si="12"/>
      </c>
      <c r="AI26" s="199">
        <f t="shared" si="13"/>
      </c>
      <c r="AJ26" s="200"/>
      <c r="AK26" s="197">
        <f>IF(ISNA(MATCH(CONCATENATE(AK$2,$A26),'Výsledková listina'!$R:$R,0)),"",INDEX('Výsledková listina'!$B:$B,MATCH(CONCATENATE(AK$2,$A26),'Výsledková listina'!$R:$R,0),1))</f>
      </c>
      <c r="AL26" s="176"/>
      <c r="AM26" s="198">
        <f t="shared" si="14"/>
      </c>
      <c r="AN26" s="199">
        <f t="shared" si="15"/>
      </c>
      <c r="AO26" s="200"/>
      <c r="AP26" s="197">
        <f>IF(ISNA(MATCH(CONCATENATE(AP$2,$A26),'Výsledková listina'!$R:$R,0)),"",INDEX('Výsledková listina'!$B:$B,MATCH(CONCATENATE(AP$2,$A26),'Výsledková listina'!$R:$R,0),1))</f>
      </c>
      <c r="AQ26" s="176"/>
      <c r="AR26" s="198">
        <f t="shared" si="16"/>
      </c>
      <c r="AS26" s="199">
        <f t="shared" si="17"/>
      </c>
      <c r="AT26" s="200"/>
      <c r="AU26" s="197">
        <f>IF(ISNA(MATCH(CONCATENATE(AU$2,$A26),'Výsledková listina'!$R:$R,0)),"",INDEX('Výsledková listina'!$B:$B,MATCH(CONCATENATE(AU$2,$A26),'Výsledková listina'!$R:$R,0),1))</f>
      </c>
      <c r="AV26" s="176"/>
      <c r="AW26" s="198">
        <f t="shared" si="18"/>
      </c>
      <c r="AX26" s="199">
        <f t="shared" si="19"/>
      </c>
      <c r="AY26" s="200"/>
      <c r="AZ26" s="197">
        <f>IF(ISNA(MATCH(CONCATENATE(AZ$2,$A26),'Výsledková listina'!$R:$R,0)),"",INDEX('Výsledková listina'!$B:$B,MATCH(CONCATENATE(AZ$2,$A26),'Výsledková listina'!$R:$R,0),1))</f>
      </c>
      <c r="BA26" s="176"/>
      <c r="BB26" s="198">
        <f t="shared" si="20"/>
      </c>
      <c r="BC26" s="199">
        <f t="shared" si="21"/>
      </c>
      <c r="BD26" s="200"/>
      <c r="BE26" s="197">
        <f>IF(ISNA(MATCH(CONCATENATE(BE$2,$A26),'Výsledková listina'!$R:$R,0)),"",INDEX('Výsledková listina'!$B:$B,MATCH(CONCATENATE(BE$2,$A26),'Výsledková listina'!$R:$R,0),1))</f>
      </c>
      <c r="BF26" s="176"/>
      <c r="BG26" s="198">
        <f t="shared" si="22"/>
      </c>
      <c r="BH26" s="199">
        <f t="shared" si="23"/>
      </c>
      <c r="BI26" s="200"/>
      <c r="BJ26" s="197">
        <f>IF(ISNA(MATCH(CONCATENATE(BJ$2,$A26),'Výsledková listina'!$R:$R,0)),"",INDEX('Výsledková listina'!$B:$B,MATCH(CONCATENATE(BJ$2,$A26),'Výsledková listina'!$R:$R,0),1))</f>
      </c>
      <c r="BK26" s="176"/>
      <c r="BL26" s="198">
        <f t="shared" si="24"/>
      </c>
      <c r="BM26" s="199">
        <f t="shared" si="25"/>
      </c>
      <c r="BN26" s="200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</row>
    <row r="27" spans="1:137" s="202" customFormat="1" ht="34.5" customHeight="1" thickBot="1">
      <c r="A27" s="204">
        <v>24</v>
      </c>
      <c r="B27" s="205">
        <f>IF(ISNA(MATCH(CONCATENATE(B$2,$A27),'Výsledková listina'!$R:$R,0)),"",INDEX('Výsledková listina'!$B:$B,MATCH(CONCATENATE(B$2,$A27),'Výsledková listina'!$R:$R,0),1))</f>
      </c>
      <c r="C27" s="184"/>
      <c r="D27" s="206">
        <f t="shared" si="0"/>
      </c>
      <c r="E27" s="207">
        <f t="shared" si="1"/>
      </c>
      <c r="F27" s="208"/>
      <c r="G27" s="205">
        <f>IF(ISNA(MATCH(CONCATENATE(G$2,$A27),'Výsledková listina'!$R:$R,0)),"",INDEX('Výsledková listina'!$B:$B,MATCH(CONCATENATE(G$2,$A27),'Výsledková listina'!$R:$R,0),1))</f>
      </c>
      <c r="H27" s="184"/>
      <c r="I27" s="206">
        <f t="shared" si="2"/>
      </c>
      <c r="J27" s="207">
        <f t="shared" si="3"/>
      </c>
      <c r="K27" s="208"/>
      <c r="L27" s="205">
        <f>IF(ISNA(MATCH(CONCATENATE(L$2,$A27),'Výsledková listina'!$R:$R,0)),"",INDEX('Výsledková listina'!$B:$B,MATCH(CONCATENATE(L$2,$A27),'Výsledková listina'!$R:$R,0),1))</f>
      </c>
      <c r="M27" s="184"/>
      <c r="N27" s="206">
        <f t="shared" si="4"/>
      </c>
      <c r="O27" s="207">
        <f t="shared" si="5"/>
      </c>
      <c r="P27" s="208"/>
      <c r="Q27" s="205">
        <f>IF(ISNA(MATCH(CONCATENATE(Q$2,$A27),'Výsledková listina'!$R:$R,0)),"",INDEX('Výsledková listina'!$B:$B,MATCH(CONCATENATE(Q$2,$A27),'Výsledková listina'!$R:$R,0),1))</f>
      </c>
      <c r="R27" s="184"/>
      <c r="S27" s="206">
        <f t="shared" si="6"/>
      </c>
      <c r="T27" s="207">
        <f t="shared" si="7"/>
      </c>
      <c r="U27" s="208"/>
      <c r="V27" s="205">
        <f>IF(ISNA(MATCH(CONCATENATE(V$2,$A27),'Výsledková listina'!$R:$R,0)),"",INDEX('Výsledková listina'!$B:$B,MATCH(CONCATENATE(V$2,$A27),'Výsledková listina'!$R:$R,0),1))</f>
      </c>
      <c r="W27" s="184"/>
      <c r="X27" s="206">
        <f t="shared" si="8"/>
      </c>
      <c r="Y27" s="207">
        <f t="shared" si="9"/>
      </c>
      <c r="Z27" s="208"/>
      <c r="AA27" s="205">
        <f>IF(ISNA(MATCH(CONCATENATE(AA$2,$A27),'Výsledková listina'!$R:$R,0)),"",INDEX('Výsledková listina'!$B:$B,MATCH(CONCATENATE(AA$2,$A27),'Výsledková listina'!$R:$R,0),1))</f>
      </c>
      <c r="AB27" s="184"/>
      <c r="AC27" s="206">
        <f t="shared" si="10"/>
      </c>
      <c r="AD27" s="207">
        <f t="shared" si="11"/>
      </c>
      <c r="AE27" s="208"/>
      <c r="AF27" s="205">
        <f>IF(ISNA(MATCH(CONCATENATE(AF$2,$A27),'Výsledková listina'!$R:$R,0)),"",INDEX('Výsledková listina'!$B:$B,MATCH(CONCATENATE(AF$2,$A27),'Výsledková listina'!$R:$R,0),1))</f>
      </c>
      <c r="AG27" s="184"/>
      <c r="AH27" s="206">
        <f t="shared" si="12"/>
      </c>
      <c r="AI27" s="207">
        <f t="shared" si="13"/>
      </c>
      <c r="AJ27" s="208"/>
      <c r="AK27" s="205">
        <f>IF(ISNA(MATCH(CONCATENATE(AK$2,$A27),'Výsledková listina'!$R:$R,0)),"",INDEX('Výsledková listina'!$B:$B,MATCH(CONCATENATE(AK$2,$A27),'Výsledková listina'!$R:$R,0),1))</f>
      </c>
      <c r="AL27" s="184"/>
      <c r="AM27" s="206">
        <f t="shared" si="14"/>
      </c>
      <c r="AN27" s="207">
        <f t="shared" si="15"/>
      </c>
      <c r="AO27" s="208"/>
      <c r="AP27" s="205">
        <f>IF(ISNA(MATCH(CONCATENATE(AP$2,$A27),'Výsledková listina'!$R:$R,0)),"",INDEX('Výsledková listina'!$B:$B,MATCH(CONCATENATE(AP$2,$A27),'Výsledková listina'!$R:$R,0),1))</f>
      </c>
      <c r="AQ27" s="184"/>
      <c r="AR27" s="206">
        <f t="shared" si="16"/>
      </c>
      <c r="AS27" s="207">
        <f t="shared" si="17"/>
      </c>
      <c r="AT27" s="208"/>
      <c r="AU27" s="205">
        <f>IF(ISNA(MATCH(CONCATENATE(AU$2,$A27),'Výsledková listina'!$R:$R,0)),"",INDEX('Výsledková listina'!$B:$B,MATCH(CONCATENATE(AU$2,$A27),'Výsledková listina'!$R:$R,0),1))</f>
      </c>
      <c r="AV27" s="184"/>
      <c r="AW27" s="206">
        <f t="shared" si="18"/>
      </c>
      <c r="AX27" s="207">
        <f t="shared" si="19"/>
      </c>
      <c r="AY27" s="208"/>
      <c r="AZ27" s="205">
        <f>IF(ISNA(MATCH(CONCATENATE(AZ$2,$A27),'Výsledková listina'!$R:$R,0)),"",INDEX('Výsledková listina'!$B:$B,MATCH(CONCATENATE(AZ$2,$A27),'Výsledková listina'!$R:$R,0),1))</f>
      </c>
      <c r="BA27" s="184"/>
      <c r="BB27" s="206">
        <f t="shared" si="20"/>
      </c>
      <c r="BC27" s="207">
        <f t="shared" si="21"/>
      </c>
      <c r="BD27" s="208"/>
      <c r="BE27" s="205">
        <f>IF(ISNA(MATCH(CONCATENATE(BE$2,$A27),'Výsledková listina'!$R:$R,0)),"",INDEX('Výsledková listina'!$B:$B,MATCH(CONCATENATE(BE$2,$A27),'Výsledková listina'!$R:$R,0),1))</f>
      </c>
      <c r="BF27" s="184"/>
      <c r="BG27" s="206">
        <f t="shared" si="22"/>
      </c>
      <c r="BH27" s="207">
        <f t="shared" si="23"/>
      </c>
      <c r="BI27" s="208"/>
      <c r="BJ27" s="205">
        <f>IF(ISNA(MATCH(CONCATENATE(BJ$2,$A27),'Výsledková listina'!$R:$R,0)),"",INDEX('Výsledková listina'!$B:$B,MATCH(CONCATENATE(BJ$2,$A27),'Výsledková listina'!$R:$R,0),1))</f>
      </c>
      <c r="BK27" s="184"/>
      <c r="BL27" s="206">
        <f t="shared" si="24"/>
      </c>
      <c r="BM27" s="207">
        <f t="shared" si="25"/>
      </c>
      <c r="BN27" s="208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</row>
    <row r="29" spans="2:62" ht="12.75">
      <c r="B29" s="209"/>
      <c r="G29" s="209"/>
      <c r="L29" s="209"/>
      <c r="Q29" s="209"/>
      <c r="V29" s="209"/>
      <c r="AA29" s="209"/>
      <c r="AF29" s="209"/>
      <c r="AK29" s="209"/>
      <c r="AP29" s="209"/>
      <c r="AU29" s="209"/>
      <c r="AZ29" s="209"/>
      <c r="BE29" s="209"/>
      <c r="BJ29" s="209"/>
    </row>
    <row r="30" ht="12.75">
      <c r="B30" s="209"/>
    </row>
  </sheetData>
  <sheetProtection/>
  <mergeCells count="27"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view="pageBreakPreview" zoomScaleNormal="75" zoomScaleSheetLayoutView="100" zoomScalePageLayoutView="0" workbookViewId="0" topLeftCell="A31">
      <selection activeCell="B50" sqref="B50"/>
    </sheetView>
  </sheetViews>
  <sheetFormatPr defaultColWidth="9.125" defaultRowHeight="12.75"/>
  <cols>
    <col min="1" max="1" width="3.00390625" style="11" bestFit="1" customWidth="1"/>
    <col min="2" max="2" width="6.125" style="11" bestFit="1" customWidth="1"/>
    <col min="3" max="3" width="5.75390625" style="11" customWidth="1"/>
    <col min="4" max="4" width="7.375" style="11" customWidth="1"/>
    <col min="5" max="5" width="5.25390625" style="11" customWidth="1"/>
    <col min="6" max="6" width="18.25390625" style="33" customWidth="1"/>
    <col min="7" max="7" width="6.125" style="11" bestFit="1" customWidth="1"/>
    <col min="8" max="8" width="5.625" style="11" bestFit="1" customWidth="1"/>
    <col min="9" max="10" width="5.75390625" style="11" customWidth="1"/>
    <col min="11" max="11" width="20.00390625" style="33" customWidth="1"/>
    <col min="12" max="145" width="3.875" style="11" customWidth="1"/>
    <col min="146" max="16384" width="9.125" style="11" customWidth="1"/>
  </cols>
  <sheetData>
    <row r="1" spans="1:11" s="34" customFormat="1" ht="18" customHeight="1">
      <c r="A1" s="412" t="s">
        <v>86</v>
      </c>
      <c r="B1" s="413" t="s">
        <v>87</v>
      </c>
      <c r="C1" s="413"/>
      <c r="D1" s="413"/>
      <c r="E1" s="413"/>
      <c r="F1" s="413"/>
      <c r="G1" s="413" t="s">
        <v>88</v>
      </c>
      <c r="H1" s="413"/>
      <c r="I1" s="413"/>
      <c r="J1" s="413"/>
      <c r="K1" s="413"/>
    </row>
    <row r="2" spans="1:11" s="34" customFormat="1" ht="18" customHeight="1">
      <c r="A2" s="412"/>
      <c r="B2" s="35" t="s">
        <v>45</v>
      </c>
      <c r="C2" s="35" t="s">
        <v>46</v>
      </c>
      <c r="D2" s="35" t="s">
        <v>4</v>
      </c>
      <c r="E2" s="35" t="s">
        <v>89</v>
      </c>
      <c r="F2" s="35" t="s">
        <v>90</v>
      </c>
      <c r="G2" s="35" t="s">
        <v>45</v>
      </c>
      <c r="H2" s="35" t="s">
        <v>46</v>
      </c>
      <c r="I2" s="35" t="s">
        <v>4</v>
      </c>
      <c r="J2" s="35" t="s">
        <v>89</v>
      </c>
      <c r="K2" s="35" t="s">
        <v>90</v>
      </c>
    </row>
    <row r="3" spans="1:11" ht="18" customHeight="1">
      <c r="A3" s="31">
        <v>1</v>
      </c>
      <c r="B3" s="35" t="s">
        <v>19</v>
      </c>
      <c r="C3" s="35">
        <v>1</v>
      </c>
      <c r="D3" s="30">
        <f>INDEX('1. závod'!$A:$BN,$C3+3,INDEX('Základní list'!$B:$B,MATCH($B3,'Základní list'!$A:$A,0),1))</f>
        <v>19765</v>
      </c>
      <c r="E3" s="30">
        <f>INDEX('1. závod'!$A:$BN,$C3+3,INDEX('Základní list'!$B:$B,MATCH($B3,'Základní list'!$A:$A,0),1)+2)</f>
        <v>1</v>
      </c>
      <c r="F3" s="32" t="str">
        <f>INDEX('1. závod'!$A:$BN,$C3+3,INDEX('Základní list'!$B:$B,MATCH($B3,'Základní list'!$A:$A,0),1)-1)</f>
        <v>Zavřel Jan</v>
      </c>
      <c r="G3" s="35" t="s">
        <v>19</v>
      </c>
      <c r="H3" s="35">
        <v>1</v>
      </c>
      <c r="I3" s="30">
        <f>INDEX('2. závod'!$A:$BN,$H3+3,INDEX('Základní list'!$B:$B,MATCH($G3,'Základní list'!$A:$A,0),1))</f>
        <v>11760</v>
      </c>
      <c r="J3" s="30">
        <f>INDEX('2. závod'!$A:$BN,$H3+3,INDEX('Základní list'!$B:$B,MATCH($G3,'Základní list'!$A:$A,0),1)+2)</f>
        <v>5</v>
      </c>
      <c r="K3" s="32" t="str">
        <f>INDEX('2. závod'!$A:$BN,$H3+3,INDEX('Základní list'!$B:$B,MATCH($G3,'Základní list'!$A:$A,0),1)-1)</f>
        <v>Křivánek Miroslav</v>
      </c>
    </row>
    <row r="4" spans="1:11" ht="18" customHeight="1">
      <c r="A4" s="31">
        <v>2</v>
      </c>
      <c r="B4" s="35" t="s">
        <v>19</v>
      </c>
      <c r="C4" s="35">
        <v>2</v>
      </c>
      <c r="D4" s="30">
        <f>INDEX('1. závod'!$A:$BN,$C4+3,INDEX('Základní list'!$B:$B,MATCH($B4,'Základní list'!$A:$A,0),1))</f>
        <v>12045</v>
      </c>
      <c r="E4" s="30">
        <f>INDEX('1. závod'!$A:$BN,$C4+3,INDEX('Základní list'!$B:$B,MATCH($B4,'Základní list'!$A:$A,0),1)+2)</f>
        <v>3</v>
      </c>
      <c r="F4" s="32" t="str">
        <f>INDEX('1. závod'!$A:$BN,$C4+3,INDEX('Základní list'!$B:$B,MATCH($B4,'Základní list'!$A:$A,0),1)-1)</f>
        <v>Holčák Radek</v>
      </c>
      <c r="G4" s="35" t="s">
        <v>19</v>
      </c>
      <c r="H4" s="35">
        <v>2</v>
      </c>
      <c r="I4" s="30">
        <f>INDEX('2. závod'!$A:$BN,$H4+3,INDEX('Základní list'!$B:$B,MATCH($G4,'Základní list'!$A:$A,0),1))</f>
        <v>13380</v>
      </c>
      <c r="J4" s="30">
        <f>INDEX('2. závod'!$A:$BN,$H4+3,INDEX('Základní list'!$B:$B,MATCH($G4,'Základní list'!$A:$A,0),1)+2)</f>
        <v>3</v>
      </c>
      <c r="K4" s="32" t="str">
        <f>INDEX('2. závod'!$A:$BN,$H4+3,INDEX('Základní list'!$B:$B,MATCH($G4,'Základní list'!$A:$A,0),1)-1)</f>
        <v>Staněk Karel</v>
      </c>
    </row>
    <row r="5" spans="1:11" ht="18" customHeight="1">
      <c r="A5" s="31">
        <v>3</v>
      </c>
      <c r="B5" s="35" t="s">
        <v>19</v>
      </c>
      <c r="C5" s="35">
        <v>3</v>
      </c>
      <c r="D5" s="30">
        <f>INDEX('1. závod'!$A:$BN,$C5+3,INDEX('Základní list'!$B:$B,MATCH($B5,'Základní list'!$A:$A,0),1))</f>
        <v>4440</v>
      </c>
      <c r="E5" s="30">
        <f>INDEX('1. závod'!$A:$BN,$C5+3,INDEX('Základní list'!$B:$B,MATCH($B5,'Základní list'!$A:$A,0),1)+2)</f>
        <v>10</v>
      </c>
      <c r="F5" s="32" t="str">
        <f>INDEX('1. závod'!$A:$BN,$C5+3,INDEX('Základní list'!$B:$B,MATCH($B5,'Základní list'!$A:$A,0),1)-1)</f>
        <v>Nerad Rostislav</v>
      </c>
      <c r="G5" s="35" t="s">
        <v>19</v>
      </c>
      <c r="H5" s="35">
        <v>3</v>
      </c>
      <c r="I5" s="30">
        <f>INDEX('2. závod'!$A:$BN,$H5+3,INDEX('Základní list'!$B:$B,MATCH($G5,'Základní list'!$A:$A,0),1))</f>
        <v>10540</v>
      </c>
      <c r="J5" s="30">
        <f>INDEX('2. závod'!$A:$BN,$H5+3,INDEX('Základní list'!$B:$B,MATCH($G5,'Základní list'!$A:$A,0),1)+2)</f>
        <v>6</v>
      </c>
      <c r="K5" s="32" t="str">
        <f>INDEX('2. závod'!$A:$BN,$H5+3,INDEX('Základní list'!$B:$B,MATCH($G5,'Základní list'!$A:$A,0),1)-1)</f>
        <v>Mucala David</v>
      </c>
    </row>
    <row r="6" spans="1:11" ht="18" customHeight="1">
      <c r="A6" s="31">
        <v>4</v>
      </c>
      <c r="B6" s="35" t="s">
        <v>19</v>
      </c>
      <c r="C6" s="35">
        <v>4</v>
      </c>
      <c r="D6" s="30">
        <f>INDEX('1. závod'!$A:$BN,$C6+3,INDEX('Základní list'!$B:$B,MATCH($B6,'Základní list'!$A:$A,0),1))</f>
        <v>6885</v>
      </c>
      <c r="E6" s="30">
        <f>INDEX('1. závod'!$A:$BN,$C6+3,INDEX('Základní list'!$B:$B,MATCH($B6,'Základní list'!$A:$A,0),1)+2)</f>
        <v>7</v>
      </c>
      <c r="F6" s="32" t="str">
        <f>INDEX('1. závod'!$A:$BN,$C6+3,INDEX('Základní list'!$B:$B,MATCH($B6,'Základní list'!$A:$A,0),1)-1)</f>
        <v>Kortiš Ladislav</v>
      </c>
      <c r="G6" s="35" t="s">
        <v>19</v>
      </c>
      <c r="H6" s="35">
        <v>4</v>
      </c>
      <c r="I6" s="30">
        <f>INDEX('2. závod'!$A:$BN,$H6+3,INDEX('Základní list'!$B:$B,MATCH($G6,'Základní list'!$A:$A,0),1))</f>
        <v>9480</v>
      </c>
      <c r="J6" s="30">
        <f>INDEX('2. závod'!$A:$BN,$H6+3,INDEX('Základní list'!$B:$B,MATCH($G6,'Základní list'!$A:$A,0),1)+2)</f>
        <v>8</v>
      </c>
      <c r="K6" s="32" t="str">
        <f>INDEX('2. závod'!$A:$BN,$H6+3,INDEX('Základní list'!$B:$B,MATCH($G6,'Základní list'!$A:$A,0),1)-1)</f>
        <v>Komora Martin</v>
      </c>
    </row>
    <row r="7" spans="1:11" ht="18" customHeight="1">
      <c r="A7" s="31">
        <v>5</v>
      </c>
      <c r="B7" s="35" t="s">
        <v>19</v>
      </c>
      <c r="C7" s="35">
        <v>5</v>
      </c>
      <c r="D7" s="30">
        <f>INDEX('1. závod'!$A:$BN,$C7+3,INDEX('Základní list'!$B:$B,MATCH($B7,'Základní list'!$A:$A,0),1))</f>
        <v>2943</v>
      </c>
      <c r="E7" s="30">
        <f>INDEX('1. závod'!$A:$BN,$C7+3,INDEX('Základní list'!$B:$B,MATCH($B7,'Základní list'!$A:$A,0),1)+2)</f>
        <v>11</v>
      </c>
      <c r="F7" s="32" t="str">
        <f>INDEX('1. závod'!$A:$BN,$C7+3,INDEX('Základní list'!$B:$B,MATCH($B7,'Základní list'!$A:$A,0),1)-1)</f>
        <v>Pagáč Pavel</v>
      </c>
      <c r="G7" s="35" t="s">
        <v>19</v>
      </c>
      <c r="H7" s="35">
        <v>5</v>
      </c>
      <c r="I7" s="30">
        <f>INDEX('2. závod'!$A:$BN,$H7+3,INDEX('Základní list'!$B:$B,MATCH($G7,'Základní list'!$A:$A,0),1))</f>
        <v>4680</v>
      </c>
      <c r="J7" s="30">
        <f>INDEX('2. závod'!$A:$BN,$H7+3,INDEX('Základní list'!$B:$B,MATCH($G7,'Základní list'!$A:$A,0),1)+2)</f>
        <v>13</v>
      </c>
      <c r="K7" s="32" t="str">
        <f>INDEX('2. závod'!$A:$BN,$H7+3,INDEX('Základní list'!$B:$B,MATCH($G7,'Základní list'!$A:$A,0),1)-1)</f>
        <v>Nimko Maryan</v>
      </c>
    </row>
    <row r="8" spans="1:11" ht="18" customHeight="1">
      <c r="A8" s="31">
        <v>6</v>
      </c>
      <c r="B8" s="35" t="s">
        <v>19</v>
      </c>
      <c r="C8" s="35">
        <v>6</v>
      </c>
      <c r="D8" s="30">
        <f>INDEX('1. závod'!$A:$BN,$C8+3,INDEX('Základní list'!$B:$B,MATCH($B8,'Základní list'!$A:$A,0),1))</f>
        <v>5710</v>
      </c>
      <c r="E8" s="30">
        <f>INDEX('1. závod'!$A:$BN,$C8+3,INDEX('Základní list'!$B:$B,MATCH($B8,'Základní list'!$A:$A,0),1)+2)</f>
        <v>9</v>
      </c>
      <c r="F8" s="32" t="str">
        <f>INDEX('1. závod'!$A:$BN,$C8+3,INDEX('Základní list'!$B:$B,MATCH($B8,'Základní list'!$A:$A,0),1)-1)</f>
        <v>Řezáč Jan st.</v>
      </c>
      <c r="G8" s="35" t="s">
        <v>19</v>
      </c>
      <c r="H8" s="35">
        <v>6</v>
      </c>
      <c r="I8" s="30">
        <f>INDEX('2. závod'!$A:$BN,$H8+3,INDEX('Základní list'!$B:$B,MATCH($G8,'Základní list'!$A:$A,0),1))</f>
        <v>15970</v>
      </c>
      <c r="J8" s="30">
        <f>INDEX('2. závod'!$A:$BN,$H8+3,INDEX('Základní list'!$B:$B,MATCH($G8,'Základní list'!$A:$A,0),1)+2)</f>
        <v>1</v>
      </c>
      <c r="K8" s="32" t="str">
        <f>INDEX('2. závod'!$A:$BN,$H8+3,INDEX('Základní list'!$B:$B,MATCH($G8,'Základní list'!$A:$A,0),1)-1)</f>
        <v>Maťak Martin</v>
      </c>
    </row>
    <row r="9" spans="1:11" ht="18" customHeight="1">
      <c r="A9" s="31">
        <v>7</v>
      </c>
      <c r="B9" s="35" t="s">
        <v>19</v>
      </c>
      <c r="C9" s="35">
        <v>7</v>
      </c>
      <c r="D9" s="30">
        <f>INDEX('1. závod'!$A:$BN,$C9+3,INDEX('Základní list'!$B:$B,MATCH($B9,'Základní list'!$A:$A,0),1))</f>
        <v>9995</v>
      </c>
      <c r="E9" s="30">
        <f>INDEX('1. závod'!$A:$BN,$C9+3,INDEX('Základní list'!$B:$B,MATCH($B9,'Základní list'!$A:$A,0),1)+2)</f>
        <v>4</v>
      </c>
      <c r="F9" s="32" t="str">
        <f>INDEX('1. závod'!$A:$BN,$C9+3,INDEX('Základní list'!$B:$B,MATCH($B9,'Základní list'!$A:$A,0),1)-1)</f>
        <v>Hrdlička Jaroslav</v>
      </c>
      <c r="G9" s="35" t="s">
        <v>19</v>
      </c>
      <c r="H9" s="35">
        <v>7</v>
      </c>
      <c r="I9" s="30">
        <f>INDEX('2. závod'!$A:$BN,$H9+3,INDEX('Základní list'!$B:$B,MATCH($G9,'Základní list'!$A:$A,0),1))</f>
        <v>8290</v>
      </c>
      <c r="J9" s="30">
        <f>INDEX('2. závod'!$A:$BN,$H9+3,INDEX('Základní list'!$B:$B,MATCH($G9,'Základní list'!$A:$A,0),1)+2)</f>
        <v>10</v>
      </c>
      <c r="K9" s="32" t="str">
        <f>INDEX('2. závod'!$A:$BN,$H9+3,INDEX('Základní list'!$B:$B,MATCH($G9,'Základní list'!$A:$A,0),1)-1)</f>
        <v>Pagáč Pavel</v>
      </c>
    </row>
    <row r="10" spans="1:11" ht="18" customHeight="1">
      <c r="A10" s="31">
        <v>8</v>
      </c>
      <c r="B10" s="35" t="s">
        <v>19</v>
      </c>
      <c r="C10" s="35">
        <v>8</v>
      </c>
      <c r="D10" s="30">
        <f>INDEX('1. závod'!$A:$BN,$C10+3,INDEX('Základní list'!$B:$B,MATCH($B10,'Základní list'!$A:$A,0),1))</f>
        <v>5840</v>
      </c>
      <c r="E10" s="30">
        <f>INDEX('1. závod'!$A:$BN,$C10+3,INDEX('Základní list'!$B:$B,MATCH($B10,'Základní list'!$A:$A,0),1)+2)</f>
        <v>8</v>
      </c>
      <c r="F10" s="32" t="str">
        <f>INDEX('1. závod'!$A:$BN,$C10+3,INDEX('Základní list'!$B:$B,MATCH($B10,'Základní list'!$A:$A,0),1)-1)</f>
        <v>Krýsl Pavel</v>
      </c>
      <c r="G10" s="35" t="s">
        <v>19</v>
      </c>
      <c r="H10" s="35">
        <v>8</v>
      </c>
      <c r="I10" s="30">
        <f>INDEX('2. závod'!$A:$BN,$H10+3,INDEX('Základní list'!$B:$B,MATCH($G10,'Základní list'!$A:$A,0),1))</f>
        <v>5450</v>
      </c>
      <c r="J10" s="30">
        <f>INDEX('2. závod'!$A:$BN,$H10+3,INDEX('Základní list'!$B:$B,MATCH($G10,'Základní list'!$A:$A,0),1)+2)</f>
        <v>12</v>
      </c>
      <c r="K10" s="32" t="str">
        <f>INDEX('2. závod'!$A:$BN,$H10+3,INDEX('Základní list'!$B:$B,MATCH($G10,'Základní list'!$A:$A,0),1)-1)</f>
        <v>Řípa Aleš</v>
      </c>
    </row>
    <row r="11" spans="1:11" ht="18" customHeight="1">
      <c r="A11" s="31">
        <v>9</v>
      </c>
      <c r="B11" s="35" t="s">
        <v>19</v>
      </c>
      <c r="C11" s="35">
        <v>9</v>
      </c>
      <c r="D11" s="30">
        <f>INDEX('1. závod'!$A:$BN,$C11+3,INDEX('Základní list'!$B:$B,MATCH($B11,'Základní list'!$A:$A,0),1))</f>
        <v>1060</v>
      </c>
      <c r="E11" s="30">
        <f>INDEX('1. závod'!$A:$BN,$C11+3,INDEX('Základní list'!$B:$B,MATCH($B11,'Základní list'!$A:$A,0),1)+2)</f>
        <v>14</v>
      </c>
      <c r="F11" s="32" t="str">
        <f>INDEX('1. závod'!$A:$BN,$C11+3,INDEX('Základní list'!$B:$B,MATCH($B11,'Základní list'!$A:$A,0),1)-1)</f>
        <v>Brzobohatý Jan</v>
      </c>
      <c r="G11" s="35" t="s">
        <v>19</v>
      </c>
      <c r="H11" s="35">
        <v>9</v>
      </c>
      <c r="I11" s="30">
        <f>INDEX('2. závod'!$A:$BN,$H11+3,INDEX('Základní list'!$B:$B,MATCH($G11,'Základní list'!$A:$A,0),1))</f>
        <v>13450</v>
      </c>
      <c r="J11" s="30">
        <f>INDEX('2. závod'!$A:$BN,$H11+3,INDEX('Základní list'!$B:$B,MATCH($G11,'Základní list'!$A:$A,0),1)+2)</f>
        <v>2</v>
      </c>
      <c r="K11" s="32" t="str">
        <f>INDEX('2. závod'!$A:$BN,$H11+3,INDEX('Základní list'!$B:$B,MATCH($G11,'Základní list'!$A:$A,0),1)-1)</f>
        <v>Černý Tomáš st.</v>
      </c>
    </row>
    <row r="12" spans="1:11" ht="18" customHeight="1">
      <c r="A12" s="31">
        <v>10</v>
      </c>
      <c r="B12" s="35" t="s">
        <v>19</v>
      </c>
      <c r="C12" s="35">
        <v>10</v>
      </c>
      <c r="D12" s="30">
        <f>INDEX('1. závod'!$A:$BN,$C12+3,INDEX('Základní list'!$B:$B,MATCH($B12,'Základní list'!$A:$A,0),1))</f>
        <v>685</v>
      </c>
      <c r="E12" s="30">
        <f>INDEX('1. závod'!$A:$BN,$C12+3,INDEX('Základní list'!$B:$B,MATCH($B12,'Základní list'!$A:$A,0),1)+2)</f>
        <v>15</v>
      </c>
      <c r="F12" s="32" t="str">
        <f>INDEX('1. závod'!$A:$BN,$C12+3,INDEX('Základní list'!$B:$B,MATCH($B12,'Základní list'!$A:$A,0),1)-1)</f>
        <v>Špitálský Václav ml.</v>
      </c>
      <c r="G12" s="35" t="s">
        <v>19</v>
      </c>
      <c r="H12" s="35">
        <v>10</v>
      </c>
      <c r="I12" s="30">
        <f>INDEX('2. závod'!$A:$BN,$H12+3,INDEX('Základní list'!$B:$B,MATCH($G12,'Základní list'!$A:$A,0),1))</f>
        <v>6670</v>
      </c>
      <c r="J12" s="30">
        <f>INDEX('2. závod'!$A:$BN,$H12+3,INDEX('Základní list'!$B:$B,MATCH($G12,'Základní list'!$A:$A,0),1)+2)</f>
        <v>11</v>
      </c>
      <c r="K12" s="32" t="str">
        <f>INDEX('2. závod'!$A:$BN,$H12+3,INDEX('Základní list'!$B:$B,MATCH($G12,'Základní list'!$A:$A,0),1)-1)</f>
        <v>Peterka Jaroslav</v>
      </c>
    </row>
    <row r="13" spans="1:11" ht="18" customHeight="1">
      <c r="A13" s="31">
        <v>11</v>
      </c>
      <c r="B13" s="35" t="s">
        <v>19</v>
      </c>
      <c r="C13" s="35">
        <v>11</v>
      </c>
      <c r="D13" s="30">
        <f>INDEX('1. závod'!$A:$BN,$C13+3,INDEX('Základní list'!$B:$B,MATCH($B13,'Základní list'!$A:$A,0),1))</f>
        <v>2510</v>
      </c>
      <c r="E13" s="30">
        <f>INDEX('1. závod'!$A:$BN,$C13+3,INDEX('Základní list'!$B:$B,MATCH($B13,'Základní list'!$A:$A,0),1)+2)</f>
        <v>12</v>
      </c>
      <c r="F13" s="32" t="str">
        <f>INDEX('1. závod'!$A:$BN,$C13+3,INDEX('Základní list'!$B:$B,MATCH($B13,'Základní list'!$A:$A,0),1)-1)</f>
        <v>Vacek Jan</v>
      </c>
      <c r="G13" s="35" t="s">
        <v>19</v>
      </c>
      <c r="H13" s="35">
        <v>11</v>
      </c>
      <c r="I13" s="30">
        <f>INDEX('2. závod'!$A:$BN,$H13+3,INDEX('Základní list'!$B:$B,MATCH($G13,'Základní list'!$A:$A,0),1))</f>
        <v>2140</v>
      </c>
      <c r="J13" s="30">
        <f>INDEX('2. závod'!$A:$BN,$H13+3,INDEX('Základní list'!$B:$B,MATCH($G13,'Základní list'!$A:$A,0),1)+2)</f>
        <v>14</v>
      </c>
      <c r="K13" s="32" t="str">
        <f>INDEX('2. závod'!$A:$BN,$H13+3,INDEX('Základní list'!$B:$B,MATCH($G13,'Základní list'!$A:$A,0),1)-1)</f>
        <v>Sigmund David</v>
      </c>
    </row>
    <row r="14" spans="1:11" ht="18" customHeight="1">
      <c r="A14" s="31">
        <v>16</v>
      </c>
      <c r="B14" s="35" t="s">
        <v>24</v>
      </c>
      <c r="C14" s="35">
        <v>1</v>
      </c>
      <c r="D14" s="30">
        <f>INDEX('1. závod'!$A:$BN,$C14+3,INDEX('Základní list'!$B:$B,MATCH($B14,'Základní list'!$A:$A,0),1))</f>
        <v>3370</v>
      </c>
      <c r="E14" s="30">
        <f>INDEX('1. závod'!$A:$BN,$C14+3,INDEX('Základní list'!$B:$B,MATCH($B14,'Základní list'!$A:$A,0),1)+2)</f>
        <v>14</v>
      </c>
      <c r="F14" s="32" t="str">
        <f>INDEX('1. závod'!$A:$BN,$C14+3,INDEX('Základní list'!$B:$B,MATCH($B14,'Základní list'!$A:$A,0),1)-1)</f>
        <v>Svitek Ferdinand</v>
      </c>
      <c r="G14" s="35" t="s">
        <v>24</v>
      </c>
      <c r="H14" s="35">
        <v>1</v>
      </c>
      <c r="I14" s="30">
        <f>INDEX('2. závod'!$A:$BN,$H14+3,INDEX('Základní list'!$B:$B,MATCH($G14,'Základní list'!$A:$A,0),1))</f>
        <v>5290</v>
      </c>
      <c r="J14" s="30">
        <f>INDEX('2. závod'!$A:$BN,$H14+3,INDEX('Základní list'!$B:$B,MATCH($G14,'Základní list'!$A:$A,0),1)+2)</f>
        <v>6</v>
      </c>
      <c r="K14" s="32" t="str">
        <f>INDEX('2. závod'!$A:$BN,$H14+3,INDEX('Základní list'!$B:$B,MATCH($G14,'Základní list'!$A:$A,0),1)-1)</f>
        <v>Vojta Jan</v>
      </c>
    </row>
    <row r="15" spans="1:11" ht="18" customHeight="1">
      <c r="A15" s="31">
        <v>17</v>
      </c>
      <c r="B15" s="35" t="s">
        <v>24</v>
      </c>
      <c r="C15" s="35">
        <v>2</v>
      </c>
      <c r="D15" s="30">
        <f>INDEX('1. závod'!$A:$BN,$C15+3,INDEX('Základní list'!$B:$B,MATCH($B15,'Základní list'!$A:$A,0),1))</f>
        <v>6180</v>
      </c>
      <c r="E15" s="30">
        <f>INDEX('1. závod'!$A:$BN,$C15+3,INDEX('Základní list'!$B:$B,MATCH($B15,'Základní list'!$A:$A,0),1)+2)</f>
        <v>7</v>
      </c>
      <c r="F15" s="32" t="str">
        <f>INDEX('1. závod'!$A:$BN,$C15+3,INDEX('Základní list'!$B:$B,MATCH($B15,'Základní list'!$A:$A,0),1)-1)</f>
        <v>Poskočil Petr</v>
      </c>
      <c r="G15" s="35" t="s">
        <v>24</v>
      </c>
      <c r="H15" s="35">
        <v>2</v>
      </c>
      <c r="I15" s="30">
        <f>INDEX('2. závod'!$A:$BN,$H15+3,INDEX('Základní list'!$B:$B,MATCH($G15,'Základní list'!$A:$A,0),1))</f>
        <v>1160</v>
      </c>
      <c r="J15" s="30">
        <f>INDEX('2. závod'!$A:$BN,$H15+3,INDEX('Základní list'!$B:$B,MATCH($G15,'Základní list'!$A:$A,0),1)+2)</f>
        <v>13</v>
      </c>
      <c r="K15" s="32" t="str">
        <f>INDEX('2. závod'!$A:$BN,$H15+3,INDEX('Základní list'!$B:$B,MATCH($G15,'Základní list'!$A:$A,0),1)-1)</f>
        <v>Stříbrský Viktor</v>
      </c>
    </row>
    <row r="16" spans="1:11" ht="18" customHeight="1">
      <c r="A16" s="31">
        <v>18</v>
      </c>
      <c r="B16" s="35" t="s">
        <v>24</v>
      </c>
      <c r="C16" s="35">
        <v>3</v>
      </c>
      <c r="D16" s="30">
        <f>INDEX('1. závod'!$A:$BN,$C16+3,INDEX('Základní list'!$B:$B,MATCH($B16,'Základní list'!$A:$A,0),1))</f>
        <v>11960</v>
      </c>
      <c r="E16" s="30">
        <f>INDEX('1. závod'!$A:$BN,$C16+3,INDEX('Základní list'!$B:$B,MATCH($B16,'Základní list'!$A:$A,0),1)+2)</f>
        <v>2</v>
      </c>
      <c r="F16" s="32" t="str">
        <f>INDEX('1. závod'!$A:$BN,$C16+3,INDEX('Základní list'!$B:$B,MATCH($B16,'Základní list'!$A:$A,0),1)-1)</f>
        <v>Houžvíček Jan</v>
      </c>
      <c r="G16" s="35" t="s">
        <v>24</v>
      </c>
      <c r="H16" s="35">
        <v>3</v>
      </c>
      <c r="I16" s="30">
        <f>INDEX('2. závod'!$A:$BN,$H16+3,INDEX('Základní list'!$B:$B,MATCH($G16,'Základní list'!$A:$A,0),1))</f>
        <v>3600</v>
      </c>
      <c r="J16" s="30">
        <f>INDEX('2. závod'!$A:$BN,$H16+3,INDEX('Základní list'!$B:$B,MATCH($G16,'Základní list'!$A:$A,0),1)+2)</f>
        <v>10</v>
      </c>
      <c r="K16" s="32" t="str">
        <f>INDEX('2. závod'!$A:$BN,$H16+3,INDEX('Základní list'!$B:$B,MATCH($G16,'Základní list'!$A:$A,0),1)-1)</f>
        <v>Vrtěl Ondřej</v>
      </c>
    </row>
    <row r="17" spans="1:11" ht="18" customHeight="1">
      <c r="A17" s="31">
        <v>19</v>
      </c>
      <c r="B17" s="35" t="s">
        <v>24</v>
      </c>
      <c r="C17" s="35">
        <v>4</v>
      </c>
      <c r="D17" s="30">
        <f>INDEX('1. závod'!$A:$BN,$C17+3,INDEX('Základní list'!$B:$B,MATCH($B17,'Základní list'!$A:$A,0),1))</f>
        <v>5700</v>
      </c>
      <c r="E17" s="30">
        <f>INDEX('1. závod'!$A:$BN,$C17+3,INDEX('Základní list'!$B:$B,MATCH($B17,'Základní list'!$A:$A,0),1)+2)</f>
        <v>8</v>
      </c>
      <c r="F17" s="32" t="str">
        <f>INDEX('1. závod'!$A:$BN,$C17+3,INDEX('Základní list'!$B:$B,MATCH($B17,'Základní list'!$A:$A,0),1)-1)</f>
        <v>Staněk Karel</v>
      </c>
      <c r="G17" s="35" t="s">
        <v>24</v>
      </c>
      <c r="H17" s="35">
        <v>4</v>
      </c>
      <c r="I17" s="30">
        <f>INDEX('2. závod'!$A:$BN,$H17+3,INDEX('Základní list'!$B:$B,MATCH($G17,'Základní list'!$A:$A,0),1))</f>
        <v>8170</v>
      </c>
      <c r="J17" s="30">
        <f>INDEX('2. závod'!$A:$BN,$H17+3,INDEX('Základní list'!$B:$B,MATCH($G17,'Základní list'!$A:$A,0),1)+2)</f>
        <v>3</v>
      </c>
      <c r="K17" s="32" t="str">
        <f>INDEX('2. závod'!$A:$BN,$H17+3,INDEX('Základní list'!$B:$B,MATCH($G17,'Základní list'!$A:$A,0),1)-1)</f>
        <v>Viktorin Tomáš</v>
      </c>
    </row>
    <row r="18" spans="1:11" ht="18" customHeight="1">
      <c r="A18" s="31">
        <v>20</v>
      </c>
      <c r="B18" s="35" t="s">
        <v>24</v>
      </c>
      <c r="C18" s="35">
        <v>5</v>
      </c>
      <c r="D18" s="30">
        <f>INDEX('1. závod'!$A:$BN,$C18+3,INDEX('Základní list'!$B:$B,MATCH($B18,'Základní list'!$A:$A,0),1))</f>
        <v>6410</v>
      </c>
      <c r="E18" s="30">
        <f>INDEX('1. závod'!$A:$BN,$C18+3,INDEX('Základní list'!$B:$B,MATCH($B18,'Základní list'!$A:$A,0),1)+2)</f>
        <v>6</v>
      </c>
      <c r="F18" s="32" t="str">
        <f>INDEX('1. závod'!$A:$BN,$C18+3,INDEX('Základní list'!$B:$B,MATCH($B18,'Základní list'!$A:$A,0),1)-1)</f>
        <v>Lukášek Jakub</v>
      </c>
      <c r="G18" s="35" t="s">
        <v>24</v>
      </c>
      <c r="H18" s="35">
        <v>5</v>
      </c>
      <c r="I18" s="30">
        <f>INDEX('2. závod'!$A:$BN,$H18+3,INDEX('Základní list'!$B:$B,MATCH($G18,'Základní list'!$A:$A,0),1))</f>
        <v>3990</v>
      </c>
      <c r="J18" s="30">
        <f>INDEX('2. závod'!$A:$BN,$H18+3,INDEX('Základní list'!$B:$B,MATCH($G18,'Základní list'!$A:$A,0),1)+2)</f>
        <v>9</v>
      </c>
      <c r="K18" s="32" t="str">
        <f>INDEX('2. závod'!$A:$BN,$H18+3,INDEX('Základní list'!$B:$B,MATCH($G18,'Základní list'!$A:$A,0),1)-1)</f>
        <v>Šerý Kamil</v>
      </c>
    </row>
    <row r="19" spans="1:11" ht="18" customHeight="1">
      <c r="A19" s="31">
        <v>21</v>
      </c>
      <c r="B19" s="35" t="s">
        <v>24</v>
      </c>
      <c r="C19" s="35">
        <v>6</v>
      </c>
      <c r="D19" s="30">
        <f>INDEX('1. závod'!$A:$BN,$C19+3,INDEX('Základní list'!$B:$B,MATCH($B19,'Základní list'!$A:$A,0),1))</f>
        <v>5420</v>
      </c>
      <c r="E19" s="30">
        <f>INDEX('1. závod'!$A:$BN,$C19+3,INDEX('Základní list'!$B:$B,MATCH($B19,'Základní list'!$A:$A,0),1)+2)</f>
        <v>10</v>
      </c>
      <c r="F19" s="32" t="str">
        <f>INDEX('1. závod'!$A:$BN,$C19+3,INDEX('Základní list'!$B:$B,MATCH($B19,'Základní list'!$A:$A,0),1)-1)</f>
        <v>Koubek František</v>
      </c>
      <c r="G19" s="35" t="s">
        <v>24</v>
      </c>
      <c r="H19" s="35">
        <v>6</v>
      </c>
      <c r="I19" s="30">
        <f>INDEX('2. závod'!$A:$BN,$H19+3,INDEX('Základní list'!$B:$B,MATCH($G19,'Základní list'!$A:$A,0),1))</f>
        <v>2850</v>
      </c>
      <c r="J19" s="30">
        <f>INDEX('2. závod'!$A:$BN,$H19+3,INDEX('Základní list'!$B:$B,MATCH($G19,'Základní list'!$A:$A,0),1)+2)</f>
        <v>12</v>
      </c>
      <c r="K19" s="32" t="str">
        <f>INDEX('2. závod'!$A:$BN,$H19+3,INDEX('Základní list'!$B:$B,MATCH($G19,'Základní list'!$A:$A,0),1)-1)</f>
        <v>Koubek František</v>
      </c>
    </row>
    <row r="20" spans="1:11" ht="18" customHeight="1">
      <c r="A20" s="31">
        <v>22</v>
      </c>
      <c r="B20" s="35" t="s">
        <v>24</v>
      </c>
      <c r="C20" s="35">
        <v>7</v>
      </c>
      <c r="D20" s="30">
        <f>INDEX('1. závod'!$A:$BN,$C20+3,INDEX('Základní list'!$B:$B,MATCH($B20,'Základní list'!$A:$A,0),1))</f>
        <v>2580</v>
      </c>
      <c r="E20" s="30">
        <f>INDEX('1. závod'!$A:$BN,$C20+3,INDEX('Základní list'!$B:$B,MATCH($B20,'Základní list'!$A:$A,0),1)+2)</f>
        <v>15</v>
      </c>
      <c r="F20" s="32" t="str">
        <f>INDEX('1. závod'!$A:$BN,$C20+3,INDEX('Základní list'!$B:$B,MATCH($B20,'Základní list'!$A:$A,0),1)-1)</f>
        <v>Jurkovič Jan</v>
      </c>
      <c r="G20" s="35" t="s">
        <v>24</v>
      </c>
      <c r="H20" s="35">
        <v>7</v>
      </c>
      <c r="I20" s="30">
        <f>INDEX('2. závod'!$A:$BN,$H20+3,INDEX('Základní list'!$B:$B,MATCH($G20,'Základní list'!$A:$A,0),1))</f>
        <v>3440</v>
      </c>
      <c r="J20" s="30">
        <f>INDEX('2. závod'!$A:$BN,$H20+3,INDEX('Základní list'!$B:$B,MATCH($G20,'Základní list'!$A:$A,0),1)+2)</f>
        <v>11</v>
      </c>
      <c r="K20" s="32" t="str">
        <f>INDEX('2. závod'!$A:$BN,$H20+3,INDEX('Základní list'!$B:$B,MATCH($G20,'Základní list'!$A:$A,0),1)-1)</f>
        <v>Dvořák Dominik</v>
      </c>
    </row>
    <row r="21" spans="1:11" ht="18" customHeight="1">
      <c r="A21" s="31">
        <v>23</v>
      </c>
      <c r="B21" s="35" t="s">
        <v>24</v>
      </c>
      <c r="C21" s="35">
        <v>8</v>
      </c>
      <c r="D21" s="30">
        <f>INDEX('1. závod'!$A:$BN,$C21+3,INDEX('Základní list'!$B:$B,MATCH($B21,'Základní list'!$A:$A,0),1))</f>
        <v>5540</v>
      </c>
      <c r="E21" s="30">
        <f>INDEX('1. závod'!$A:$BN,$C21+3,INDEX('Základní list'!$B:$B,MATCH($B21,'Základní list'!$A:$A,0),1)+2)</f>
        <v>9</v>
      </c>
      <c r="F21" s="32" t="str">
        <f>INDEX('1. závod'!$A:$BN,$C21+3,INDEX('Základní list'!$B:$B,MATCH($B21,'Základní list'!$A:$A,0),1)-1)</f>
        <v>Novák Jan</v>
      </c>
      <c r="G21" s="35" t="s">
        <v>24</v>
      </c>
      <c r="H21" s="35">
        <v>8</v>
      </c>
      <c r="I21" s="30">
        <f>INDEX('2. závod'!$A:$BN,$H21+3,INDEX('Základní list'!$B:$B,MATCH($G21,'Základní list'!$A:$A,0),1))</f>
        <v>540</v>
      </c>
      <c r="J21" s="30">
        <f>INDEX('2. závod'!$A:$BN,$H21+3,INDEX('Základní list'!$B:$B,MATCH($G21,'Základní list'!$A:$A,0),1)+2)</f>
        <v>14</v>
      </c>
      <c r="K21" s="32" t="str">
        <f>INDEX('2. závod'!$A:$BN,$H21+3,INDEX('Základní list'!$B:$B,MATCH($G21,'Základní list'!$A:$A,0),1)-1)</f>
        <v>Zoul Artur</v>
      </c>
    </row>
    <row r="22" spans="1:11" ht="18" customHeight="1">
      <c r="A22" s="31">
        <v>24</v>
      </c>
      <c r="B22" s="35" t="s">
        <v>24</v>
      </c>
      <c r="C22" s="35">
        <v>9</v>
      </c>
      <c r="D22" s="30">
        <f>INDEX('1. závod'!$A:$BN,$C22+3,INDEX('Základní list'!$B:$B,MATCH($B22,'Základní list'!$A:$A,0),1))</f>
        <v>4660</v>
      </c>
      <c r="E22" s="30">
        <f>INDEX('1. závod'!$A:$BN,$C22+3,INDEX('Základní list'!$B:$B,MATCH($B22,'Základní list'!$A:$A,0),1)+2)</f>
        <v>12</v>
      </c>
      <c r="F22" s="32" t="str">
        <f>INDEX('1. závod'!$A:$BN,$C22+3,INDEX('Základní list'!$B:$B,MATCH($B22,'Základní list'!$A:$A,0),1)-1)</f>
        <v>Procházka Martin</v>
      </c>
      <c r="G22" s="35" t="s">
        <v>24</v>
      </c>
      <c r="H22" s="35">
        <v>9</v>
      </c>
      <c r="I22" s="30">
        <f>INDEX('2. závod'!$A:$BN,$H22+3,INDEX('Základní list'!$B:$B,MATCH($G22,'Základní list'!$A:$A,0),1))</f>
        <v>7660</v>
      </c>
      <c r="J22" s="30">
        <f>INDEX('2. závod'!$A:$BN,$H22+3,INDEX('Základní list'!$B:$B,MATCH($G22,'Základní list'!$A:$A,0),1)+2)</f>
        <v>4</v>
      </c>
      <c r="K22" s="32" t="str">
        <f>INDEX('2. závod'!$A:$BN,$H22+3,INDEX('Základní list'!$B:$B,MATCH($G22,'Základní list'!$A:$A,0),1)-1)</f>
        <v>Douša Jan</v>
      </c>
    </row>
    <row r="23" spans="1:11" ht="18" customHeight="1">
      <c r="A23" s="31">
        <v>25</v>
      </c>
      <c r="B23" s="35" t="s">
        <v>24</v>
      </c>
      <c r="C23" s="35">
        <v>10</v>
      </c>
      <c r="D23" s="30">
        <f>INDEX('1. závod'!$A:$BN,$C23+3,INDEX('Základní list'!$B:$B,MATCH($B23,'Základní list'!$A:$A,0),1))</f>
        <v>11230</v>
      </c>
      <c r="E23" s="30">
        <f>INDEX('1. závod'!$A:$BN,$C23+3,INDEX('Základní list'!$B:$B,MATCH($B23,'Základní list'!$A:$A,0),1)+2)</f>
        <v>3</v>
      </c>
      <c r="F23" s="32" t="str">
        <f>INDEX('1. závod'!$A:$BN,$C23+3,INDEX('Základní list'!$B:$B,MATCH($B23,'Základní list'!$A:$A,0),1)-1)</f>
        <v>Rada Milan</v>
      </c>
      <c r="G23" s="35" t="s">
        <v>24</v>
      </c>
      <c r="H23" s="35">
        <v>10</v>
      </c>
      <c r="I23" s="30">
        <f>INDEX('2. závod'!$A:$BN,$H23+3,INDEX('Základní list'!$B:$B,MATCH($G23,'Základní list'!$A:$A,0),1))</f>
        <v>520</v>
      </c>
      <c r="J23" s="30">
        <f>INDEX('2. závod'!$A:$BN,$H23+3,INDEX('Základní list'!$B:$B,MATCH($G23,'Základní list'!$A:$A,0),1)+2)</f>
        <v>15</v>
      </c>
      <c r="K23" s="32" t="str">
        <f>INDEX('2. závod'!$A:$BN,$H23+3,INDEX('Základní list'!$B:$B,MATCH($G23,'Základní list'!$A:$A,0),1)-1)</f>
        <v>Řehoř Michal</v>
      </c>
    </row>
    <row r="24" spans="1:11" ht="18" customHeight="1">
      <c r="A24" s="31">
        <v>26</v>
      </c>
      <c r="B24" s="35" t="s">
        <v>24</v>
      </c>
      <c r="C24" s="35">
        <v>11</v>
      </c>
      <c r="D24" s="30">
        <f>INDEX('1. závod'!$A:$BN,$C24+3,INDEX('Základní list'!$B:$B,MATCH($B24,'Základní list'!$A:$A,0),1))</f>
        <v>5260</v>
      </c>
      <c r="E24" s="30">
        <f>INDEX('1. závod'!$A:$BN,$C24+3,INDEX('Základní list'!$B:$B,MATCH($B24,'Základní list'!$A:$A,0),1)+2)</f>
        <v>11</v>
      </c>
      <c r="F24" s="32" t="str">
        <f>INDEX('1. závod'!$A:$BN,$C24+3,INDEX('Základní list'!$B:$B,MATCH($B24,'Základní list'!$A:$A,0),1)-1)</f>
        <v>Burak Oleg</v>
      </c>
      <c r="G24" s="35" t="s">
        <v>24</v>
      </c>
      <c r="H24" s="35">
        <v>11</v>
      </c>
      <c r="I24" s="30">
        <f>INDEX('2. závod'!$A:$BN,$H24+3,INDEX('Základní list'!$B:$B,MATCH($G24,'Základní list'!$A:$A,0),1))</f>
        <v>4330</v>
      </c>
      <c r="J24" s="30">
        <f>INDEX('2. závod'!$A:$BN,$H24+3,INDEX('Základní list'!$B:$B,MATCH($G24,'Základní list'!$A:$A,0),1)+2)</f>
        <v>7</v>
      </c>
      <c r="K24" s="32" t="str">
        <f>INDEX('2. závod'!$A:$BN,$H24+3,INDEX('Základní list'!$B:$B,MATCH($G24,'Základní list'!$A:$A,0),1)-1)</f>
        <v>Král Víťa ml.</v>
      </c>
    </row>
    <row r="25" spans="1:11" ht="18" customHeight="1">
      <c r="A25" s="31">
        <v>27</v>
      </c>
      <c r="B25" s="35" t="s">
        <v>24</v>
      </c>
      <c r="C25" s="35">
        <v>12</v>
      </c>
      <c r="D25" s="30">
        <f>INDEX('1. závod'!$A:$BN,$C25+3,INDEX('Základní list'!$B:$B,MATCH($B25,'Základní list'!$A:$A,0),1))</f>
        <v>13640</v>
      </c>
      <c r="E25" s="30">
        <f>INDEX('1. závod'!$A:$BN,$C25+3,INDEX('Základní list'!$B:$B,MATCH($B25,'Základní list'!$A:$A,0),1)+2)</f>
        <v>1</v>
      </c>
      <c r="F25" s="32" t="str">
        <f>INDEX('1. závod'!$A:$BN,$C25+3,INDEX('Základní list'!$B:$B,MATCH($B25,'Základní list'!$A:$A,0),1)-1)</f>
        <v>Velebný Pavel</v>
      </c>
      <c r="G25" s="35" t="s">
        <v>24</v>
      </c>
      <c r="H25" s="35">
        <v>12</v>
      </c>
      <c r="I25" s="30">
        <f>INDEX('2. závod'!$A:$BN,$H25+3,INDEX('Základní list'!$B:$B,MATCH($G25,'Základní list'!$A:$A,0),1))</f>
        <v>12600</v>
      </c>
      <c r="J25" s="30">
        <f>INDEX('2. závod'!$A:$BN,$H25+3,INDEX('Základní list'!$B:$B,MATCH($G25,'Základní list'!$A:$A,0),1)+2)</f>
        <v>2</v>
      </c>
      <c r="K25" s="32" t="str">
        <f>INDEX('2. závod'!$A:$BN,$H25+3,INDEX('Základní list'!$B:$B,MATCH($G25,'Základní list'!$A:$A,0),1)-1)</f>
        <v>Štovčík Viktor</v>
      </c>
    </row>
    <row r="26" spans="1:11" ht="18" customHeight="1">
      <c r="A26" s="31">
        <v>31</v>
      </c>
      <c r="B26" s="35" t="s">
        <v>23</v>
      </c>
      <c r="C26" s="35">
        <v>1</v>
      </c>
      <c r="D26" s="30">
        <f>INDEX('1. závod'!$A:$BN,$C26+3,INDEX('Základní list'!$B:$B,MATCH($B26,'Základní list'!$A:$A,0),1))</f>
        <v>0</v>
      </c>
      <c r="E26" s="30">
        <f>INDEX('1. závod'!$A:$BN,$C26+3,INDEX('Základní list'!$B:$B,MATCH($B26,'Základní list'!$A:$A,0),1)+2)</f>
      </c>
      <c r="F26" s="32">
        <f>INDEX('1. závod'!$A:$BN,$C26+3,INDEX('Základní list'!$B:$B,MATCH($B26,'Základní list'!$A:$A,0),1)-1)</f>
      </c>
      <c r="G26" s="35" t="s">
        <v>23</v>
      </c>
      <c r="H26" s="35">
        <v>1</v>
      </c>
      <c r="I26" s="30">
        <f>INDEX('2. závod'!$A:$BN,$H26+3,INDEX('Základní list'!$B:$B,MATCH($G26,'Základní list'!$A:$A,0),1))</f>
        <v>0</v>
      </c>
      <c r="J26" s="30">
        <f>INDEX('2. závod'!$A:$BN,$H26+3,INDEX('Základní list'!$B:$B,MATCH($G26,'Základní list'!$A:$A,0),1)+2)</f>
      </c>
      <c r="K26" s="32">
        <f>INDEX('2. závod'!$A:$BN,$H26+3,INDEX('Základní list'!$B:$B,MATCH($G26,'Základní list'!$A:$A,0),1)-1)</f>
      </c>
    </row>
    <row r="27" spans="1:11" ht="18" customHeight="1">
      <c r="A27" s="31">
        <v>32</v>
      </c>
      <c r="B27" s="35" t="s">
        <v>23</v>
      </c>
      <c r="C27" s="35">
        <v>2</v>
      </c>
      <c r="D27" s="30">
        <f>INDEX('1. závod'!$A:$BN,$C27+3,INDEX('Základní list'!$B:$B,MATCH($B27,'Základní list'!$A:$A,0),1))</f>
        <v>11870</v>
      </c>
      <c r="E27" s="30">
        <f>INDEX('1. závod'!$A:$BN,$C27+3,INDEX('Základní list'!$B:$B,MATCH($B27,'Základní list'!$A:$A,0),1)+2)</f>
        <v>3</v>
      </c>
      <c r="F27" s="32" t="str">
        <f>INDEX('1. závod'!$A:$BN,$C27+3,INDEX('Základní list'!$B:$B,MATCH($B27,'Základní list'!$A:$A,0),1)-1)</f>
        <v>Sigmund David</v>
      </c>
      <c r="G27" s="35" t="s">
        <v>23</v>
      </c>
      <c r="H27" s="35">
        <v>2</v>
      </c>
      <c r="I27" s="30">
        <f>INDEX('2. závod'!$A:$BN,$H27+3,INDEX('Základní list'!$B:$B,MATCH($G27,'Základní list'!$A:$A,0),1))</f>
        <v>13800</v>
      </c>
      <c r="J27" s="30">
        <f>INDEX('2. závod'!$A:$BN,$H27+3,INDEX('Základní list'!$B:$B,MATCH($G27,'Základní list'!$A:$A,0),1)+2)</f>
        <v>1</v>
      </c>
      <c r="K27" s="32" t="str">
        <f>INDEX('2. závod'!$A:$BN,$H27+3,INDEX('Základní list'!$B:$B,MATCH($G27,'Základní list'!$A:$A,0),1)-1)</f>
        <v>Štěpnička Martin</v>
      </c>
    </row>
    <row r="28" spans="1:11" ht="18" customHeight="1">
      <c r="A28" s="31">
        <v>33</v>
      </c>
      <c r="B28" s="35" t="s">
        <v>23</v>
      </c>
      <c r="C28" s="35">
        <v>3</v>
      </c>
      <c r="D28" s="30">
        <f>INDEX('1. závod'!$A:$BN,$C28+3,INDEX('Základní list'!$B:$B,MATCH($B28,'Základní list'!$A:$A,0),1))</f>
        <v>13585</v>
      </c>
      <c r="E28" s="30">
        <f>INDEX('1. závod'!$A:$BN,$C28+3,INDEX('Základní list'!$B:$B,MATCH($B28,'Základní list'!$A:$A,0),1)+2)</f>
        <v>1</v>
      </c>
      <c r="F28" s="32" t="str">
        <f>INDEX('1. závod'!$A:$BN,$C28+3,INDEX('Základní list'!$B:$B,MATCH($B28,'Základní list'!$A:$A,0),1)-1)</f>
        <v>Koucký Miloslav</v>
      </c>
      <c r="G28" s="35" t="s">
        <v>23</v>
      </c>
      <c r="H28" s="35">
        <v>3</v>
      </c>
      <c r="I28" s="30">
        <f>INDEX('2. závod'!$A:$BN,$H28+3,INDEX('Základní list'!$B:$B,MATCH($G28,'Základní list'!$A:$A,0),1))</f>
        <v>4980</v>
      </c>
      <c r="J28" s="30">
        <f>INDEX('2. závod'!$A:$BN,$H28+3,INDEX('Základní list'!$B:$B,MATCH($G28,'Základní list'!$A:$A,0),1)+2)</f>
        <v>10</v>
      </c>
      <c r="K28" s="32" t="str">
        <f>INDEX('2. závod'!$A:$BN,$H28+3,INDEX('Základní list'!$B:$B,MATCH($G28,'Základní list'!$A:$A,0),1)-1)</f>
        <v>Vichr Milan</v>
      </c>
    </row>
    <row r="29" spans="1:11" ht="18" customHeight="1">
      <c r="A29" s="31">
        <v>34</v>
      </c>
      <c r="B29" s="35" t="s">
        <v>23</v>
      </c>
      <c r="C29" s="35">
        <v>4</v>
      </c>
      <c r="D29" s="30">
        <f>INDEX('1. závod'!$A:$BN,$C29+3,INDEX('Základní list'!$B:$B,MATCH($B29,'Základní list'!$A:$A,0),1))</f>
        <v>6015</v>
      </c>
      <c r="E29" s="30">
        <f>INDEX('1. závod'!$A:$BN,$C29+3,INDEX('Základní list'!$B:$B,MATCH($B29,'Základní list'!$A:$A,0),1)+2)</f>
        <v>10</v>
      </c>
      <c r="F29" s="32" t="str">
        <f>INDEX('1. závod'!$A:$BN,$C29+3,INDEX('Základní list'!$B:$B,MATCH($B29,'Základní list'!$A:$A,0),1)-1)</f>
        <v>Kuchař Petr</v>
      </c>
      <c r="G29" s="35" t="s">
        <v>23</v>
      </c>
      <c r="H29" s="35">
        <v>4</v>
      </c>
      <c r="I29" s="30">
        <f>INDEX('2. závod'!$A:$BN,$H29+3,INDEX('Základní list'!$B:$B,MATCH($G29,'Základní list'!$A:$A,0),1))</f>
        <v>11260</v>
      </c>
      <c r="J29" s="30">
        <f>INDEX('2. závod'!$A:$BN,$H29+3,INDEX('Základní list'!$B:$B,MATCH($G29,'Základní list'!$A:$A,0),1)+2)</f>
        <v>3</v>
      </c>
      <c r="K29" s="32" t="str">
        <f>INDEX('2. závod'!$A:$BN,$H29+3,INDEX('Základní list'!$B:$B,MATCH($G29,'Základní list'!$A:$A,0),1)-1)</f>
        <v>Hladík Roman</v>
      </c>
    </row>
    <row r="30" spans="1:11" ht="18" customHeight="1">
      <c r="A30" s="31">
        <v>35</v>
      </c>
      <c r="B30" s="35" t="s">
        <v>23</v>
      </c>
      <c r="C30" s="35">
        <v>5</v>
      </c>
      <c r="D30" s="30">
        <f>INDEX('1. závod'!$A:$BN,$C30+3,INDEX('Základní list'!$B:$B,MATCH($B30,'Základní list'!$A:$A,0),1))</f>
        <v>11500</v>
      </c>
      <c r="E30" s="30">
        <f>INDEX('1. závod'!$A:$BN,$C30+3,INDEX('Základní list'!$B:$B,MATCH($B30,'Základní list'!$A:$A,0),1)+2)</f>
        <v>5</v>
      </c>
      <c r="F30" s="32" t="str">
        <f>INDEX('1. závod'!$A:$BN,$C30+3,INDEX('Základní list'!$B:$B,MATCH($B30,'Základní list'!$A:$A,0),1)-1)</f>
        <v>Bank Jan</v>
      </c>
      <c r="G30" s="35" t="s">
        <v>23</v>
      </c>
      <c r="H30" s="35">
        <v>5</v>
      </c>
      <c r="I30" s="30">
        <f>INDEX('2. závod'!$A:$BN,$H30+3,INDEX('Základní list'!$B:$B,MATCH($G30,'Základní list'!$A:$A,0),1))</f>
        <v>11440</v>
      </c>
      <c r="J30" s="30">
        <f>INDEX('2. závod'!$A:$BN,$H30+3,INDEX('Základní list'!$B:$B,MATCH($G30,'Základní list'!$A:$A,0),1)+2)</f>
        <v>2</v>
      </c>
      <c r="K30" s="32" t="str">
        <f>INDEX('2. závod'!$A:$BN,$H30+3,INDEX('Základní list'!$B:$B,MATCH($G30,'Základní list'!$A:$A,0),1)-1)</f>
        <v>Kameník Jaroslav</v>
      </c>
    </row>
    <row r="31" spans="1:11" ht="18" customHeight="1">
      <c r="A31" s="31">
        <v>36</v>
      </c>
      <c r="B31" s="35" t="s">
        <v>23</v>
      </c>
      <c r="C31" s="35">
        <v>6</v>
      </c>
      <c r="D31" s="30">
        <f>INDEX('1. závod'!$A:$BN,$C31+3,INDEX('Základní list'!$B:$B,MATCH($B31,'Základní list'!$A:$A,0),1))</f>
        <v>12555</v>
      </c>
      <c r="E31" s="30">
        <f>INDEX('1. závod'!$A:$BN,$C31+3,INDEX('Základní list'!$B:$B,MATCH($B31,'Základní list'!$A:$A,0),1)+2)</f>
        <v>2</v>
      </c>
      <c r="F31" s="32" t="str">
        <f>INDEX('1. závod'!$A:$BN,$C31+3,INDEX('Základní list'!$B:$B,MATCH($B31,'Základní list'!$A:$A,0),1)-1)</f>
        <v>Vrtěl Petr</v>
      </c>
      <c r="G31" s="35" t="s">
        <v>23</v>
      </c>
      <c r="H31" s="35">
        <v>6</v>
      </c>
      <c r="I31" s="30">
        <f>INDEX('2. závod'!$A:$BN,$H31+3,INDEX('Základní list'!$B:$B,MATCH($G31,'Základní list'!$A:$A,0),1))</f>
        <v>10920</v>
      </c>
      <c r="J31" s="30">
        <f>INDEX('2. závod'!$A:$BN,$H31+3,INDEX('Základní list'!$B:$B,MATCH($G31,'Základní list'!$A:$A,0),1)+2)</f>
        <v>4</v>
      </c>
      <c r="K31" s="32" t="str">
        <f>INDEX('2. závod'!$A:$BN,$H31+3,INDEX('Základní list'!$B:$B,MATCH($G31,'Základní list'!$A:$A,0),1)-1)</f>
        <v>Konopásek Ladislav</v>
      </c>
    </row>
    <row r="32" spans="1:11" ht="18" customHeight="1">
      <c r="A32" s="31">
        <v>37</v>
      </c>
      <c r="B32" s="35" t="s">
        <v>23</v>
      </c>
      <c r="C32" s="35">
        <v>7</v>
      </c>
      <c r="D32" s="30">
        <f>INDEX('1. závod'!$A:$BN,$C32+3,INDEX('Základní list'!$B:$B,MATCH($B32,'Základní list'!$A:$A,0),1))</f>
        <v>11750</v>
      </c>
      <c r="E32" s="30">
        <f>INDEX('1. závod'!$A:$BN,$C32+3,INDEX('Základní list'!$B:$B,MATCH($B32,'Základní list'!$A:$A,0),1)+2)</f>
        <v>4</v>
      </c>
      <c r="F32" s="32" t="str">
        <f>INDEX('1. závod'!$A:$BN,$C32+3,INDEX('Základní list'!$B:$B,MATCH($B32,'Základní list'!$A:$A,0),1)-1)</f>
        <v>Čtverák Jaroslav</v>
      </c>
      <c r="G32" s="35" t="s">
        <v>23</v>
      </c>
      <c r="H32" s="35">
        <v>7</v>
      </c>
      <c r="I32" s="30">
        <f>INDEX('2. závod'!$A:$BN,$H32+3,INDEX('Základní list'!$B:$B,MATCH($G32,'Základní list'!$A:$A,0),1))</f>
        <v>6460</v>
      </c>
      <c r="J32" s="30">
        <f>INDEX('2. závod'!$A:$BN,$H32+3,INDEX('Základní list'!$B:$B,MATCH($G32,'Základní list'!$A:$A,0),1)+2)</f>
        <v>6</v>
      </c>
      <c r="K32" s="32" t="str">
        <f>INDEX('2. závod'!$A:$BN,$H32+3,INDEX('Základní list'!$B:$B,MATCH($G32,'Základní list'!$A:$A,0),1)-1)</f>
        <v>Stupka Jaroslav</v>
      </c>
    </row>
    <row r="33" spans="1:11" ht="18" customHeight="1">
      <c r="A33" s="31">
        <v>38</v>
      </c>
      <c r="B33" s="35" t="s">
        <v>23</v>
      </c>
      <c r="C33" s="35">
        <v>8</v>
      </c>
      <c r="D33" s="30">
        <f>INDEX('1. závod'!$A:$BN,$C33+3,INDEX('Základní list'!$B:$B,MATCH($B33,'Základní list'!$A:$A,0),1))</f>
        <v>5960</v>
      </c>
      <c r="E33" s="30">
        <f>INDEX('1. závod'!$A:$BN,$C33+3,INDEX('Základní list'!$B:$B,MATCH($B33,'Základní list'!$A:$A,0),1)+2)</f>
        <v>11</v>
      </c>
      <c r="F33" s="32" t="str">
        <f>INDEX('1. závod'!$A:$BN,$C33+3,INDEX('Základní list'!$B:$B,MATCH($B33,'Základní list'!$A:$A,0),1)-1)</f>
        <v>Zumr Michal</v>
      </c>
      <c r="G33" s="35" t="s">
        <v>23</v>
      </c>
      <c r="H33" s="35">
        <v>8</v>
      </c>
      <c r="I33" s="30">
        <f>INDEX('2. závod'!$A:$BN,$H33+3,INDEX('Základní list'!$B:$B,MATCH($G33,'Základní list'!$A:$A,0),1))</f>
        <v>4060</v>
      </c>
      <c r="J33" s="30">
        <f>INDEX('2. závod'!$A:$BN,$H33+3,INDEX('Základní list'!$B:$B,MATCH($G33,'Základní list'!$A:$A,0),1)+2)</f>
        <v>12</v>
      </c>
      <c r="K33" s="32" t="str">
        <f>INDEX('2. závod'!$A:$BN,$H33+3,INDEX('Základní list'!$B:$B,MATCH($G33,'Základní list'!$A:$A,0),1)-1)</f>
        <v>Brzobohatý Jan</v>
      </c>
    </row>
    <row r="34" spans="1:11" ht="18" customHeight="1">
      <c r="A34" s="31">
        <v>39</v>
      </c>
      <c r="B34" s="35" t="s">
        <v>23</v>
      </c>
      <c r="C34" s="35">
        <v>9</v>
      </c>
      <c r="D34" s="30">
        <f>INDEX('1. závod'!$A:$BN,$C34+3,INDEX('Základní list'!$B:$B,MATCH($B34,'Základní list'!$A:$A,0),1))</f>
        <v>9800</v>
      </c>
      <c r="E34" s="30">
        <f>INDEX('1. závod'!$A:$BN,$C34+3,INDEX('Základní list'!$B:$B,MATCH($B34,'Základní list'!$A:$A,0),1)+2)</f>
        <v>6</v>
      </c>
      <c r="F34" s="32" t="str">
        <f>INDEX('1. závod'!$A:$BN,$C34+3,INDEX('Základní list'!$B:$B,MATCH($B34,'Základní list'!$A:$A,0),1)-1)</f>
        <v>Mucala David</v>
      </c>
      <c r="G34" s="35" t="s">
        <v>23</v>
      </c>
      <c r="H34" s="35">
        <v>9</v>
      </c>
      <c r="I34" s="30">
        <f>INDEX('2. závod'!$A:$BN,$H34+3,INDEX('Základní list'!$B:$B,MATCH($G34,'Základní list'!$A:$A,0),1))</f>
        <v>10</v>
      </c>
      <c r="J34" s="30">
        <f>INDEX('2. závod'!$A:$BN,$H34+3,INDEX('Základní list'!$B:$B,MATCH($G34,'Základní list'!$A:$A,0),1)+2)</f>
        <v>15</v>
      </c>
      <c r="K34" s="32" t="str">
        <f>INDEX('2. závod'!$A:$BN,$H34+3,INDEX('Základní list'!$B:$B,MATCH($G34,'Základní list'!$A:$A,0),1)-1)</f>
        <v>Špitálský Václav ml.</v>
      </c>
    </row>
    <row r="35" spans="1:11" ht="18" customHeight="1">
      <c r="A35" s="31">
        <v>40</v>
      </c>
      <c r="B35" s="35" t="s">
        <v>23</v>
      </c>
      <c r="C35" s="35">
        <v>10</v>
      </c>
      <c r="D35" s="30">
        <f>INDEX('1. závod'!$A:$BN,$C35+3,INDEX('Základní list'!$B:$B,MATCH($B35,'Základní list'!$A:$A,0),1))</f>
        <v>5425</v>
      </c>
      <c r="E35" s="30">
        <f>INDEX('1. závod'!$A:$BN,$C35+3,INDEX('Základní list'!$B:$B,MATCH($B35,'Základní list'!$A:$A,0),1)+2)</f>
        <v>12</v>
      </c>
      <c r="F35" s="32" t="str">
        <f>INDEX('1. závod'!$A:$BN,$C35+3,INDEX('Základní list'!$B:$B,MATCH($B35,'Základní list'!$A:$A,0),1)-1)</f>
        <v>Dědík Vladimír</v>
      </c>
      <c r="G35" s="35" t="s">
        <v>23</v>
      </c>
      <c r="H35" s="35">
        <v>10</v>
      </c>
      <c r="I35" s="30">
        <f>INDEX('2. závod'!$A:$BN,$H35+3,INDEX('Základní list'!$B:$B,MATCH($G35,'Základní list'!$A:$A,0),1))</f>
        <v>5910</v>
      </c>
      <c r="J35" s="30">
        <f>INDEX('2. závod'!$A:$BN,$H35+3,INDEX('Základní list'!$B:$B,MATCH($G35,'Základní list'!$A:$A,0),1)+2)</f>
        <v>8</v>
      </c>
      <c r="K35" s="32" t="str">
        <f>INDEX('2. závod'!$A:$BN,$H35+3,INDEX('Základní list'!$B:$B,MATCH($G35,'Základní list'!$A:$A,0),1)-1)</f>
        <v>Poskočil Petr</v>
      </c>
    </row>
    <row r="36" spans="1:11" ht="18" customHeight="1">
      <c r="A36" s="31">
        <v>41</v>
      </c>
      <c r="B36" s="35" t="s">
        <v>23</v>
      </c>
      <c r="C36" s="35">
        <v>11</v>
      </c>
      <c r="D36" s="30">
        <f>INDEX('1. závod'!$A:$BN,$C36+3,INDEX('Základní list'!$B:$B,MATCH($B36,'Základní list'!$A:$A,0),1))</f>
        <v>7355</v>
      </c>
      <c r="E36" s="30">
        <f>INDEX('1. závod'!$A:$BN,$C36+3,INDEX('Základní list'!$B:$B,MATCH($B36,'Základní list'!$A:$A,0),1)+2)</f>
        <v>9</v>
      </c>
      <c r="F36" s="32" t="str">
        <f>INDEX('1. závod'!$A:$BN,$C36+3,INDEX('Základní list'!$B:$B,MATCH($B36,'Základní list'!$A:$A,0),1)-1)</f>
        <v>Konopásek Richard</v>
      </c>
      <c r="G36" s="35" t="s">
        <v>23</v>
      </c>
      <c r="H36" s="35">
        <v>11</v>
      </c>
      <c r="I36" s="30">
        <f>INDEX('2. závod'!$A:$BN,$H36+3,INDEX('Základní list'!$B:$B,MATCH($G36,'Základní list'!$A:$A,0),1))</f>
        <v>7860</v>
      </c>
      <c r="J36" s="30">
        <f>INDEX('2. závod'!$A:$BN,$H36+3,INDEX('Základní list'!$B:$B,MATCH($G36,'Základní list'!$A:$A,0),1)+2)</f>
        <v>5</v>
      </c>
      <c r="K36" s="32" t="str">
        <f>INDEX('2. závod'!$A:$BN,$H36+3,INDEX('Základní list'!$B:$B,MATCH($G36,'Základní list'!$A:$A,0),1)-1)</f>
        <v>Vik Marek</v>
      </c>
    </row>
    <row r="37" spans="1:11" ht="18" customHeight="1">
      <c r="A37" s="31">
        <v>42</v>
      </c>
      <c r="B37" s="35" t="s">
        <v>23</v>
      </c>
      <c r="C37" s="35">
        <v>12</v>
      </c>
      <c r="D37" s="30">
        <f>INDEX('1. závod'!$A:$BN,$C37+3,INDEX('Základní list'!$B:$B,MATCH($B37,'Základní list'!$A:$A,0),1))</f>
        <v>9435</v>
      </c>
      <c r="E37" s="30">
        <f>INDEX('1. závod'!$A:$BN,$C37+3,INDEX('Základní list'!$B:$B,MATCH($B37,'Základní list'!$A:$A,0),1)+2)</f>
        <v>7</v>
      </c>
      <c r="F37" s="32" t="str">
        <f>INDEX('1. závod'!$A:$BN,$C37+3,INDEX('Základní list'!$B:$B,MATCH($B37,'Základní list'!$A:$A,0),1)-1)</f>
        <v>Němec Jan</v>
      </c>
      <c r="G37" s="35" t="s">
        <v>23</v>
      </c>
      <c r="H37" s="35">
        <v>12</v>
      </c>
      <c r="I37" s="30">
        <f>INDEX('2. závod'!$A:$BN,$H37+3,INDEX('Základní list'!$B:$B,MATCH($G37,'Základní list'!$A:$A,0),1))</f>
        <v>2340</v>
      </c>
      <c r="J37" s="30">
        <f>INDEX('2. závod'!$A:$BN,$H37+3,INDEX('Základní list'!$B:$B,MATCH($G37,'Základní list'!$A:$A,0),1)+2)</f>
        <v>14</v>
      </c>
      <c r="K37" s="32" t="str">
        <f>INDEX('2. závod'!$A:$BN,$H37+3,INDEX('Základní list'!$B:$B,MATCH($G37,'Základní list'!$A:$A,0),1)-1)</f>
        <v>Kotek Vojtěch</v>
      </c>
    </row>
    <row r="38" spans="1:11" ht="18" customHeight="1">
      <c r="A38" s="31">
        <v>46</v>
      </c>
      <c r="B38" s="35" t="s">
        <v>20</v>
      </c>
      <c r="C38" s="35">
        <v>1</v>
      </c>
      <c r="D38" s="30">
        <f>INDEX('1. závod'!$A:$BN,$C38+3,INDEX('Základní list'!$B:$B,MATCH($B38,'Základní list'!$A:$A,0),1))</f>
        <v>15450</v>
      </c>
      <c r="E38" s="30">
        <f>INDEX('1. závod'!$A:$BN,$C38+3,INDEX('Základní list'!$B:$B,MATCH($B38,'Základní list'!$A:$A,0),1)+2)</f>
        <v>2</v>
      </c>
      <c r="F38" s="32" t="str">
        <f>INDEX('1. závod'!$A:$BN,$C38+3,INDEX('Základní list'!$B:$B,MATCH($B38,'Základní list'!$A:$A,0),1)-1)</f>
        <v>Tichý Jan</v>
      </c>
      <c r="G38" s="35" t="s">
        <v>20</v>
      </c>
      <c r="H38" s="35">
        <v>1</v>
      </c>
      <c r="I38" s="30">
        <f>INDEX('2. závod'!$A:$BN,$H38+3,INDEX('Základní list'!$B:$B,MATCH($G38,'Základní list'!$A:$A,0),1))</f>
        <v>0</v>
      </c>
      <c r="J38" s="30">
        <f>INDEX('2. závod'!$A:$BN,$H38+3,INDEX('Základní list'!$B:$B,MATCH($G38,'Základní list'!$A:$A,0),1)+2)</f>
        <v>16</v>
      </c>
      <c r="K38" s="32" t="str">
        <f>INDEX('2. závod'!$A:$BN,$H38+3,INDEX('Základní list'!$B:$B,MATCH($G38,'Základní list'!$A:$A,0),1)-1)</f>
        <v>Novák Jan</v>
      </c>
    </row>
    <row r="39" spans="1:11" ht="18" customHeight="1">
      <c r="A39" s="31">
        <v>47</v>
      </c>
      <c r="B39" s="35" t="s">
        <v>20</v>
      </c>
      <c r="C39" s="35">
        <v>2</v>
      </c>
      <c r="D39" s="30">
        <f>INDEX('1. závod'!$A:$BN,$C39+3,INDEX('Základní list'!$B:$B,MATCH($B39,'Základní list'!$A:$A,0),1))</f>
        <v>14070</v>
      </c>
      <c r="E39" s="30">
        <f>INDEX('1. závod'!$A:$BN,$C39+3,INDEX('Základní list'!$B:$B,MATCH($B39,'Základní list'!$A:$A,0),1)+2)</f>
        <v>3</v>
      </c>
      <c r="F39" s="32" t="str">
        <f>INDEX('1. závod'!$A:$BN,$C39+3,INDEX('Základní list'!$B:$B,MATCH($B39,'Základní list'!$A:$A,0),1)-1)</f>
        <v>Štovčík Viktor</v>
      </c>
      <c r="G39" s="35" t="s">
        <v>20</v>
      </c>
      <c r="H39" s="35">
        <v>2</v>
      </c>
      <c r="I39" s="30">
        <f>INDEX('2. závod'!$A:$BN,$H39+3,INDEX('Základní list'!$B:$B,MATCH($G39,'Základní list'!$A:$A,0),1))</f>
        <v>6180</v>
      </c>
      <c r="J39" s="30">
        <f>INDEX('2. závod'!$A:$BN,$H39+3,INDEX('Základní list'!$B:$B,MATCH($G39,'Základní list'!$A:$A,0),1)+2)</f>
        <v>2</v>
      </c>
      <c r="K39" s="32" t="str">
        <f>INDEX('2. závod'!$A:$BN,$H39+3,INDEX('Základní list'!$B:$B,MATCH($G39,'Základní list'!$A:$A,0),1)-1)</f>
        <v>Rajdl Jaroslav</v>
      </c>
    </row>
    <row r="40" spans="1:11" ht="18" customHeight="1">
      <c r="A40" s="31">
        <v>48</v>
      </c>
      <c r="B40" s="35" t="s">
        <v>20</v>
      </c>
      <c r="C40" s="35">
        <v>3</v>
      </c>
      <c r="D40" s="30">
        <f>INDEX('1. závod'!$A:$BN,$C40+3,INDEX('Základní list'!$B:$B,MATCH($B40,'Základní list'!$A:$A,0),1))</f>
        <v>7055</v>
      </c>
      <c r="E40" s="30">
        <f>INDEX('1. závod'!$A:$BN,$C40+3,INDEX('Základní list'!$B:$B,MATCH($B40,'Základní list'!$A:$A,0),1)+2)</f>
        <v>10</v>
      </c>
      <c r="F40" s="32" t="str">
        <f>INDEX('1. závod'!$A:$BN,$C40+3,INDEX('Základní list'!$B:$B,MATCH($B40,'Základní list'!$A:$A,0),1)-1)</f>
        <v>Kabourek Václav</v>
      </c>
      <c r="G40" s="35" t="s">
        <v>20</v>
      </c>
      <c r="H40" s="35">
        <v>3</v>
      </c>
      <c r="I40" s="30">
        <f>INDEX('2. závod'!$A:$BN,$H40+3,INDEX('Základní list'!$B:$B,MATCH($G40,'Základní list'!$A:$A,0),1))</f>
        <v>4800</v>
      </c>
      <c r="J40" s="30">
        <f>INDEX('2. závod'!$A:$BN,$H40+3,INDEX('Základní list'!$B:$B,MATCH($G40,'Základní list'!$A:$A,0),1)+2)</f>
        <v>6</v>
      </c>
      <c r="K40" s="32" t="str">
        <f>INDEX('2. závod'!$A:$BN,$H40+3,INDEX('Základní list'!$B:$B,MATCH($G40,'Základní list'!$A:$A,0),1)-1)</f>
        <v>Zumr Michal</v>
      </c>
    </row>
    <row r="41" spans="1:11" ht="18" customHeight="1">
      <c r="A41" s="31">
        <v>49</v>
      </c>
      <c r="B41" s="35" t="s">
        <v>20</v>
      </c>
      <c r="C41" s="35">
        <v>4</v>
      </c>
      <c r="D41" s="30">
        <f>INDEX('1. závod'!$A:$BN,$C41+3,INDEX('Základní list'!$B:$B,MATCH($B41,'Základní list'!$A:$A,0),1))</f>
        <v>5940</v>
      </c>
      <c r="E41" s="30">
        <f>INDEX('1. závod'!$A:$BN,$C41+3,INDEX('Základní list'!$B:$B,MATCH($B41,'Základní list'!$A:$A,0),1)+2)</f>
        <v>12</v>
      </c>
      <c r="F41" s="32" t="str">
        <f>INDEX('1. závod'!$A:$BN,$C41+3,INDEX('Základní list'!$B:$B,MATCH($B41,'Základní list'!$A:$A,0),1)-1)</f>
        <v>Řezáč Jan ml.</v>
      </c>
      <c r="G41" s="35" t="s">
        <v>20</v>
      </c>
      <c r="H41" s="35">
        <v>4</v>
      </c>
      <c r="I41" s="30">
        <f>INDEX('2. závod'!$A:$BN,$H41+3,INDEX('Základní list'!$B:$B,MATCH($G41,'Základní list'!$A:$A,0),1))</f>
        <v>2420</v>
      </c>
      <c r="J41" s="30">
        <f>INDEX('2. závod'!$A:$BN,$H41+3,INDEX('Základní list'!$B:$B,MATCH($G41,'Základní list'!$A:$A,0),1)+2)</f>
        <v>9</v>
      </c>
      <c r="K41" s="32" t="str">
        <f>INDEX('2. závod'!$A:$BN,$H41+3,INDEX('Základní list'!$B:$B,MATCH($G41,'Základní list'!$A:$A,0),1)-1)</f>
        <v>Ondraček Petr</v>
      </c>
    </row>
    <row r="42" spans="1:11" ht="18" customHeight="1">
      <c r="A42" s="31">
        <v>50</v>
      </c>
      <c r="B42" s="35" t="s">
        <v>20</v>
      </c>
      <c r="C42" s="35">
        <v>5</v>
      </c>
      <c r="D42" s="30">
        <f>INDEX('1. závod'!$A:$BN,$C42+3,INDEX('Základní list'!$B:$B,MATCH($B42,'Základní list'!$A:$A,0),1))</f>
        <v>9320</v>
      </c>
      <c r="E42" s="30">
        <f>INDEX('1. závod'!$A:$BN,$C42+3,INDEX('Základní list'!$B:$B,MATCH($B42,'Základní list'!$A:$A,0),1)+2)</f>
        <v>6</v>
      </c>
      <c r="F42" s="32" t="str">
        <f>INDEX('1. závod'!$A:$BN,$C42+3,INDEX('Základní list'!$B:$B,MATCH($B42,'Základní list'!$A:$A,0),1)-1)</f>
        <v>Chadraba Petr</v>
      </c>
      <c r="G42" s="35" t="s">
        <v>20</v>
      </c>
      <c r="H42" s="35">
        <v>5</v>
      </c>
      <c r="I42" s="30">
        <f>INDEX('2. závod'!$A:$BN,$H42+3,INDEX('Základní list'!$B:$B,MATCH($G42,'Základní list'!$A:$A,0),1))</f>
        <v>2220</v>
      </c>
      <c r="J42" s="30">
        <f>INDEX('2. závod'!$A:$BN,$H42+3,INDEX('Základní list'!$B:$B,MATCH($G42,'Základní list'!$A:$A,0),1)+2)</f>
        <v>10</v>
      </c>
      <c r="K42" s="32" t="str">
        <f>INDEX('2. závod'!$A:$BN,$H42+3,INDEX('Základní list'!$B:$B,MATCH($G42,'Základní list'!$A:$A,0),1)-1)</f>
        <v>Havlíček Petr</v>
      </c>
    </row>
    <row r="43" spans="1:11" ht="18" customHeight="1">
      <c r="A43" s="31">
        <v>51</v>
      </c>
      <c r="B43" s="35" t="s">
        <v>20</v>
      </c>
      <c r="C43" s="35">
        <v>6</v>
      </c>
      <c r="D43" s="30">
        <f>INDEX('1. závod'!$A:$BN,$C43+3,INDEX('Základní list'!$B:$B,MATCH($B43,'Základní list'!$A:$A,0),1))</f>
        <v>1800</v>
      </c>
      <c r="E43" s="30">
        <f>INDEX('1. závod'!$A:$BN,$C43+3,INDEX('Základní list'!$B:$B,MATCH($B43,'Základní list'!$A:$A,0),1)+2)</f>
        <v>14</v>
      </c>
      <c r="F43" s="32" t="str">
        <f>INDEX('1. závod'!$A:$BN,$C43+3,INDEX('Základní list'!$B:$B,MATCH($B43,'Základní list'!$A:$A,0),1)-1)</f>
        <v>Kryštofy Roman</v>
      </c>
      <c r="G43" s="35" t="s">
        <v>20</v>
      </c>
      <c r="H43" s="35">
        <v>6</v>
      </c>
      <c r="I43" s="30">
        <f>INDEX('2. závod'!$A:$BN,$H43+3,INDEX('Základní list'!$B:$B,MATCH($G43,'Základní list'!$A:$A,0),1))</f>
        <v>4880</v>
      </c>
      <c r="J43" s="30">
        <f>INDEX('2. závod'!$A:$BN,$H43+3,INDEX('Základní list'!$B:$B,MATCH($G43,'Základní list'!$A:$A,0),1)+2)</f>
        <v>5</v>
      </c>
      <c r="K43" s="32" t="str">
        <f>INDEX('2. závod'!$A:$BN,$H43+3,INDEX('Základní list'!$B:$B,MATCH($G43,'Základní list'!$A:$A,0),1)-1)</f>
        <v>Šetina Michal</v>
      </c>
    </row>
    <row r="44" spans="1:11" ht="18" customHeight="1">
      <c r="A44" s="31">
        <v>52</v>
      </c>
      <c r="B44" s="35" t="s">
        <v>20</v>
      </c>
      <c r="C44" s="35">
        <v>7</v>
      </c>
      <c r="D44" s="30">
        <f>INDEX('1. závod'!$A:$BN,$C44+3,INDEX('Základní list'!$B:$B,MATCH($B44,'Základní list'!$A:$A,0),1))</f>
        <v>9990</v>
      </c>
      <c r="E44" s="30">
        <f>INDEX('1. závod'!$A:$BN,$C44+3,INDEX('Základní list'!$B:$B,MATCH($B44,'Základní list'!$A:$A,0),1)+2)</f>
        <v>5</v>
      </c>
      <c r="F44" s="32" t="str">
        <f>INDEX('1. závod'!$A:$BN,$C44+3,INDEX('Základní list'!$B:$B,MATCH($B44,'Základní list'!$A:$A,0),1)-1)</f>
        <v>Hladík Roman</v>
      </c>
      <c r="G44" s="35" t="s">
        <v>20</v>
      </c>
      <c r="H44" s="35">
        <v>7</v>
      </c>
      <c r="I44" s="30">
        <f>INDEX('2. závod'!$A:$BN,$H44+3,INDEX('Základní list'!$B:$B,MATCH($G44,'Základní list'!$A:$A,0),1))</f>
        <v>5000</v>
      </c>
      <c r="J44" s="30">
        <f>INDEX('2. závod'!$A:$BN,$H44+3,INDEX('Základní list'!$B:$B,MATCH($G44,'Základní list'!$A:$A,0),1)+2)</f>
        <v>4</v>
      </c>
      <c r="K44" s="32" t="str">
        <f>INDEX('2. závod'!$A:$BN,$H44+3,INDEX('Základní list'!$B:$B,MATCH($G44,'Základní list'!$A:$A,0),1)-1)</f>
        <v>Ondrušek Roman</v>
      </c>
    </row>
    <row r="45" spans="1:11" ht="18" customHeight="1">
      <c r="A45" s="31">
        <v>53</v>
      </c>
      <c r="B45" s="35" t="s">
        <v>20</v>
      </c>
      <c r="C45" s="35">
        <v>8</v>
      </c>
      <c r="D45" s="30">
        <f>INDEX('1. závod'!$A:$BN,$C45+3,INDEX('Základní list'!$B:$B,MATCH($B45,'Základní list'!$A:$A,0),1))</f>
        <v>1130</v>
      </c>
      <c r="E45" s="30">
        <f>INDEX('1. závod'!$A:$BN,$C45+3,INDEX('Základní list'!$B:$B,MATCH($B45,'Základní list'!$A:$A,0),1)+2)</f>
        <v>15</v>
      </c>
      <c r="F45" s="32" t="str">
        <f>INDEX('1. závod'!$A:$BN,$C45+3,INDEX('Základní list'!$B:$B,MATCH($B45,'Základní list'!$A:$A,0),1)-1)</f>
        <v>Špitálský Václav</v>
      </c>
      <c r="G45" s="35" t="s">
        <v>20</v>
      </c>
      <c r="H45" s="35">
        <v>8</v>
      </c>
      <c r="I45" s="30">
        <f>INDEX('2. závod'!$A:$BN,$H45+3,INDEX('Základní list'!$B:$B,MATCH($G45,'Základní list'!$A:$A,0),1))</f>
        <v>420</v>
      </c>
      <c r="J45" s="30">
        <f>INDEX('2. závod'!$A:$BN,$H45+3,INDEX('Základní list'!$B:$B,MATCH($G45,'Základní list'!$A:$A,0),1)+2)</f>
        <v>15</v>
      </c>
      <c r="K45" s="32" t="str">
        <f>INDEX('2. závod'!$A:$BN,$H45+3,INDEX('Základní list'!$B:$B,MATCH($G45,'Základní list'!$A:$A,0),1)-1)</f>
        <v>Paulovič Marek</v>
      </c>
    </row>
    <row r="46" spans="1:11" ht="18" customHeight="1">
      <c r="A46" s="31">
        <v>54</v>
      </c>
      <c r="B46" s="35" t="s">
        <v>20</v>
      </c>
      <c r="C46" s="35">
        <v>9</v>
      </c>
      <c r="D46" s="30">
        <f>INDEX('1. závod'!$A:$BN,$C46+3,INDEX('Základní list'!$B:$B,MATCH($B46,'Základní list'!$A:$A,0),1))</f>
        <v>0</v>
      </c>
      <c r="E46" s="30">
        <f>INDEX('1. závod'!$A:$BN,$C46+3,INDEX('Základní list'!$B:$B,MATCH($B46,'Základní list'!$A:$A,0),1)+2)</f>
        <v>16</v>
      </c>
      <c r="F46" s="32" t="str">
        <f>INDEX('1. závod'!$A:$BN,$C46+3,INDEX('Základní list'!$B:$B,MATCH($B46,'Základní list'!$A:$A,0),1)-1)</f>
        <v>Lang Radek</v>
      </c>
      <c r="G46" s="35" t="s">
        <v>20</v>
      </c>
      <c r="H46" s="35">
        <v>9</v>
      </c>
      <c r="I46" s="30">
        <f>INDEX('2. závod'!$A:$BN,$H46+3,INDEX('Základní list'!$B:$B,MATCH($G46,'Základní list'!$A:$A,0),1))</f>
        <v>620</v>
      </c>
      <c r="J46" s="30">
        <f>INDEX('2. závod'!$A:$BN,$H46+3,INDEX('Základní list'!$B:$B,MATCH($G46,'Základní list'!$A:$A,0),1)+2)</f>
        <v>14</v>
      </c>
      <c r="K46" s="32" t="str">
        <f>INDEX('2. závod'!$A:$BN,$H46+3,INDEX('Základní list'!$B:$B,MATCH($G46,'Základní list'!$A:$A,0),1)-1)</f>
        <v>Šmitmajer Marek</v>
      </c>
    </row>
    <row r="47" spans="1:11" ht="18" customHeight="1">
      <c r="A47" s="31">
        <v>55</v>
      </c>
      <c r="B47" s="35" t="s">
        <v>20</v>
      </c>
      <c r="C47" s="35">
        <v>10</v>
      </c>
      <c r="D47" s="30">
        <f>INDEX('1. závod'!$A:$BN,$C47+3,INDEX('Základní list'!$B:$B,MATCH($B47,'Základní list'!$A:$A,0),1))</f>
        <v>4870</v>
      </c>
      <c r="E47" s="30">
        <f>INDEX('1. závod'!$A:$BN,$C47+3,INDEX('Základní list'!$B:$B,MATCH($B47,'Základní list'!$A:$A,0),1)+2)</f>
        <v>13</v>
      </c>
      <c r="F47" s="32" t="str">
        <f>INDEX('1. závod'!$A:$BN,$C47+3,INDEX('Základní list'!$B:$B,MATCH($B47,'Základní list'!$A:$A,0),1)-1)</f>
        <v>Křivánek Miroslav</v>
      </c>
      <c r="G47" s="35" t="s">
        <v>20</v>
      </c>
      <c r="H47" s="35">
        <v>10</v>
      </c>
      <c r="I47" s="30">
        <f>INDEX('2. závod'!$A:$BN,$H47+3,INDEX('Základní list'!$B:$B,MATCH($G47,'Základní list'!$A:$A,0),1))</f>
        <v>1440</v>
      </c>
      <c r="J47" s="30">
        <f>INDEX('2. závod'!$A:$BN,$H47+3,INDEX('Základní list'!$B:$B,MATCH($G47,'Základní list'!$A:$A,0),1)+2)</f>
        <v>12</v>
      </c>
      <c r="K47" s="32" t="str">
        <f>INDEX('2. závod'!$A:$BN,$H47+3,INDEX('Základní list'!$B:$B,MATCH($G47,'Základní list'!$A:$A,0),1)-1)</f>
        <v>Řezáč Jan ml.</v>
      </c>
    </row>
    <row r="48" spans="1:11" ht="18" customHeight="1">
      <c r="A48" s="31">
        <v>56</v>
      </c>
      <c r="B48" s="35" t="s">
        <v>20</v>
      </c>
      <c r="C48" s="35">
        <v>11</v>
      </c>
      <c r="D48" s="30">
        <f>INDEX('1. závod'!$A:$BN,$C48+3,INDEX('Základní list'!$B:$B,MATCH($B48,'Základní list'!$A:$A,0),1))</f>
        <v>17130</v>
      </c>
      <c r="E48" s="30">
        <f>INDEX('1. závod'!$A:$BN,$C48+3,INDEX('Základní list'!$B:$B,MATCH($B48,'Základní list'!$A:$A,0),1)+2)</f>
        <v>1</v>
      </c>
      <c r="F48" s="32" t="str">
        <f>INDEX('1. závod'!$A:$BN,$C48+3,INDEX('Základní list'!$B:$B,MATCH($B48,'Základní list'!$A:$A,0),1)-1)</f>
        <v>Konopásek Josef</v>
      </c>
      <c r="G48" s="35" t="s">
        <v>20</v>
      </c>
      <c r="H48" s="35">
        <v>11</v>
      </c>
      <c r="I48" s="30">
        <f>INDEX('2. závod'!$A:$BN,$H48+3,INDEX('Základní list'!$B:$B,MATCH($G48,'Základní list'!$A:$A,0),1))</f>
        <v>1400</v>
      </c>
      <c r="J48" s="30">
        <f>INDEX('2. závod'!$A:$BN,$H48+3,INDEX('Základní list'!$B:$B,MATCH($G48,'Základní list'!$A:$A,0),1)+2)</f>
        <v>13</v>
      </c>
      <c r="K48" s="32" t="str">
        <f>INDEX('2. závod'!$A:$BN,$H48+3,INDEX('Základní list'!$B:$B,MATCH($G48,'Základní list'!$A:$A,0),1)-1)</f>
        <v>Pechalová Andrea</v>
      </c>
    </row>
    <row r="49" spans="1:11" ht="18" customHeight="1">
      <c r="A49" s="31">
        <v>57</v>
      </c>
      <c r="B49" s="35" t="s">
        <v>20</v>
      </c>
      <c r="C49" s="35">
        <v>12</v>
      </c>
      <c r="D49" s="30">
        <f>INDEX('1. závod'!$A:$BN,$C49+3,INDEX('Základní list'!$B:$B,MATCH($B49,'Základní list'!$A:$A,0),1))</f>
        <v>7600</v>
      </c>
      <c r="E49" s="30">
        <f>INDEX('1. závod'!$A:$BN,$C49+3,INDEX('Základní list'!$B:$B,MATCH($B49,'Základní list'!$A:$A,0),1)+2)</f>
        <v>8</v>
      </c>
      <c r="F49" s="32" t="str">
        <f>INDEX('1. závod'!$A:$BN,$C49+3,INDEX('Základní list'!$B:$B,MATCH($B49,'Základní list'!$A:$A,0),1)-1)</f>
        <v>Vymazal Petr</v>
      </c>
      <c r="G49" s="35" t="s">
        <v>20</v>
      </c>
      <c r="H49" s="35">
        <v>12</v>
      </c>
      <c r="I49" s="30">
        <f>INDEX('2. závod'!$A:$BN,$H49+3,INDEX('Základní list'!$B:$B,MATCH($G49,'Základní list'!$A:$A,0),1))</f>
        <v>1940</v>
      </c>
      <c r="J49" s="30">
        <f>INDEX('2. závod'!$A:$BN,$H49+3,INDEX('Základní list'!$B:$B,MATCH($G49,'Základní list'!$A:$A,0),1)+2)</f>
        <v>11</v>
      </c>
      <c r="K49" s="32" t="str">
        <f>INDEX('2. závod'!$A:$BN,$H49+3,INDEX('Základní list'!$B:$B,MATCH($G49,'Základní list'!$A:$A,0),1)-1)</f>
        <v>Burak Oleg</v>
      </c>
    </row>
    <row r="50" spans="1:11" ht="18" customHeight="1">
      <c r="A50" s="31">
        <v>58</v>
      </c>
      <c r="B50" s="35" t="s">
        <v>20</v>
      </c>
      <c r="C50" s="35">
        <v>13</v>
      </c>
      <c r="D50" s="30">
        <f>INDEX('1. závod'!$A:$BN,$C50+3,INDEX('Základní list'!$B:$B,MATCH($B50,'Základní list'!$A:$A,0),1))</f>
        <v>7540</v>
      </c>
      <c r="E50" s="30">
        <f>INDEX('1. závod'!$A:$BN,$C50+3,INDEX('Základní list'!$B:$B,MATCH($B50,'Základní list'!$A:$A,0),1)+2)</f>
        <v>9</v>
      </c>
      <c r="F50" s="32" t="str">
        <f>INDEX('1. závod'!$A:$BN,$C50+3,INDEX('Základní list'!$B:$B,MATCH($B50,'Základní list'!$A:$A,0),1)-1)</f>
        <v>Špánek Milan</v>
      </c>
      <c r="G50" s="35" t="s">
        <v>20</v>
      </c>
      <c r="H50" s="35">
        <v>14</v>
      </c>
      <c r="I50" s="30">
        <f>INDEX('2. závod'!$A:$BN,$H50+3,INDEX('Základní list'!$B:$B,MATCH($G50,'Základní list'!$A:$A,0),1))</f>
        <v>5320</v>
      </c>
      <c r="J50" s="30">
        <f>INDEX('2. závod'!$A:$BN,$H50+3,INDEX('Základní list'!$B:$B,MATCH($G50,'Základní list'!$A:$A,0),1)+2)</f>
        <v>3</v>
      </c>
      <c r="K50" s="32" t="str">
        <f>INDEX('2. závod'!$A:$BN,$H50+3,INDEX('Základní list'!$B:$B,MATCH($G50,'Základní list'!$A:$A,0),1)-1)</f>
        <v>Vosáhlo Pavel</v>
      </c>
    </row>
    <row r="51" spans="1:11" ht="12.75">
      <c r="A51" s="31">
        <v>56</v>
      </c>
      <c r="B51" s="35" t="s">
        <v>20</v>
      </c>
      <c r="C51" s="35">
        <v>11</v>
      </c>
      <c r="D51" s="30">
        <f>INDEX('1. závod'!$A:$BN,$C51+3,INDEX('Základní list'!$B:$B,MATCH($B51,'Základní list'!$A:$A,0),1))</f>
        <v>17130</v>
      </c>
      <c r="E51" s="30">
        <f>INDEX('1. závod'!$A:$BN,$C51+3,INDEX('Základní list'!$B:$B,MATCH($B51,'Základní list'!$A:$A,0),1)+2)</f>
        <v>1</v>
      </c>
      <c r="F51" s="32" t="str">
        <f>INDEX('1. závod'!$A:$BN,$C51+3,INDEX('Základní list'!$B:$B,MATCH($B51,'Základní list'!$A:$A,0),1)-1)</f>
        <v>Konopásek Josef</v>
      </c>
      <c r="G51" s="35" t="s">
        <v>20</v>
      </c>
      <c r="H51" s="35">
        <v>12</v>
      </c>
      <c r="I51" s="30">
        <f>INDEX('2. závod'!$A:$BN,$H51+3,INDEX('Základní list'!$B:$B,MATCH($G51,'Základní list'!$A:$A,0),1))</f>
        <v>1940</v>
      </c>
      <c r="J51" s="30">
        <f>INDEX('2. závod'!$A:$BN,$H51+3,INDEX('Základní list'!$B:$B,MATCH($G51,'Základní list'!$A:$A,0),1)+2)</f>
        <v>11</v>
      </c>
      <c r="K51" s="32" t="str">
        <f>INDEX('2. závod'!$A:$BN,$H51+3,INDEX('Základní list'!$B:$B,MATCH($G51,'Základní list'!$A:$A,0),1)-1)</f>
        <v>Burak Oleg</v>
      </c>
    </row>
    <row r="52" spans="1:11" ht="12.75">
      <c r="A52" s="31">
        <v>57</v>
      </c>
      <c r="B52" s="35" t="s">
        <v>20</v>
      </c>
      <c r="C52" s="35">
        <v>12</v>
      </c>
      <c r="D52" s="30">
        <f>INDEX('1. závod'!$A:$BN,$C52+3,INDEX('Základní list'!$B:$B,MATCH($B52,'Základní list'!$A:$A,0),1))</f>
        <v>7600</v>
      </c>
      <c r="E52" s="30">
        <f>INDEX('1. závod'!$A:$BN,$C52+3,INDEX('Základní list'!$B:$B,MATCH($B52,'Základní list'!$A:$A,0),1)+2)</f>
        <v>8</v>
      </c>
      <c r="F52" s="32" t="str">
        <f>INDEX('1. závod'!$A:$BN,$C52+3,INDEX('Základní list'!$B:$B,MATCH($B52,'Základní list'!$A:$A,0),1)-1)</f>
        <v>Vymazal Petr</v>
      </c>
      <c r="G52" s="35" t="s">
        <v>20</v>
      </c>
      <c r="H52" s="35">
        <v>13</v>
      </c>
      <c r="I52" s="30">
        <f>INDEX('2. závod'!$A:$BN,$H52+3,INDEX('Základní list'!$B:$B,MATCH($G52,'Základní list'!$A:$A,0),1))</f>
        <v>3500</v>
      </c>
      <c r="J52" s="30">
        <f>INDEX('2. závod'!$A:$BN,$H52+3,INDEX('Základní list'!$B:$B,MATCH($G52,'Základní list'!$A:$A,0),1)+2)</f>
        <v>8</v>
      </c>
      <c r="K52" s="32" t="str">
        <f>INDEX('2. závod'!$A:$BN,$H52+3,INDEX('Základní list'!$B:$B,MATCH($G52,'Základní list'!$A:$A,0),1)-1)</f>
        <v>Štěpnička Milan</v>
      </c>
    </row>
    <row r="53" spans="1:11" ht="12.75">
      <c r="A53" s="31">
        <v>58</v>
      </c>
      <c r="B53" s="35" t="s">
        <v>20</v>
      </c>
      <c r="C53" s="35">
        <v>13</v>
      </c>
      <c r="D53" s="30">
        <f>INDEX('1. závod'!$A:$BN,$C53+3,INDEX('Základní list'!$B:$B,MATCH($B53,'Základní list'!$A:$A,0),1))</f>
        <v>7540</v>
      </c>
      <c r="E53" s="30">
        <f>INDEX('1. závod'!$A:$BN,$C53+3,INDEX('Základní list'!$B:$B,MATCH($B53,'Základní list'!$A:$A,0),1)+2)</f>
        <v>9</v>
      </c>
      <c r="F53" s="32" t="str">
        <f>INDEX('1. závod'!$A:$BN,$C53+3,INDEX('Základní list'!$B:$B,MATCH($B53,'Základní list'!$A:$A,0),1)-1)</f>
        <v>Špánek Milan</v>
      </c>
      <c r="G53" s="35" t="s">
        <v>20</v>
      </c>
      <c r="H53" s="35">
        <v>14</v>
      </c>
      <c r="I53" s="30">
        <f>INDEX('2. závod'!$A:$BN,$H53+3,INDEX('Základní list'!$B:$B,MATCH($G53,'Základní list'!$A:$A,0),1))</f>
        <v>5320</v>
      </c>
      <c r="J53" s="30">
        <f>INDEX('2. závod'!$A:$BN,$H53+3,INDEX('Základní list'!$B:$B,MATCH($G53,'Základní list'!$A:$A,0),1)+2)</f>
        <v>3</v>
      </c>
      <c r="K53" s="32" t="str">
        <f>INDEX('2. závod'!$A:$BN,$H53+3,INDEX('Základní list'!$B:$B,MATCH($G53,'Základní list'!$A:$A,0),1)-1)</f>
        <v>Vosáhlo Pavel</v>
      </c>
    </row>
    <row r="54" spans="2:8" ht="12.75">
      <c r="B54" s="34"/>
      <c r="C54" s="34"/>
      <c r="G54" s="34"/>
      <c r="H54" s="34"/>
    </row>
    <row r="55" spans="2:8" ht="12.75">
      <c r="B55" s="34"/>
      <c r="C55" s="34"/>
      <c r="G55" s="34"/>
      <c r="H55" s="34"/>
    </row>
    <row r="56" spans="2:8" ht="12.75">
      <c r="B56" s="34"/>
      <c r="C56" s="34"/>
      <c r="G56" s="34"/>
      <c r="H56" s="34"/>
    </row>
    <row r="57" spans="2:8" ht="12.75">
      <c r="B57" s="34"/>
      <c r="C57" s="34"/>
      <c r="G57" s="34"/>
      <c r="H57" s="34"/>
    </row>
    <row r="58" spans="2:8" ht="12.75">
      <c r="B58" s="34"/>
      <c r="C58" s="34"/>
      <c r="G58" s="34"/>
      <c r="H58" s="34"/>
    </row>
    <row r="59" spans="2:8" ht="12.75">
      <c r="B59" s="34"/>
      <c r="C59" s="34"/>
      <c r="G59" s="34"/>
      <c r="H59" s="34"/>
    </row>
    <row r="60" spans="2:8" ht="12.75">
      <c r="B60" s="34"/>
      <c r="C60" s="34"/>
      <c r="G60" s="34"/>
      <c r="H60" s="34"/>
    </row>
    <row r="61" spans="2:8" ht="12.75">
      <c r="B61" s="34"/>
      <c r="C61" s="34"/>
      <c r="G61" s="34"/>
      <c r="H61" s="34"/>
    </row>
    <row r="62" spans="2:8" ht="12.75">
      <c r="B62" s="34"/>
      <c r="C62" s="34"/>
      <c r="G62" s="34"/>
      <c r="H62" s="34"/>
    </row>
    <row r="63" spans="2:8" ht="12.75">
      <c r="B63" s="34"/>
      <c r="C63" s="34"/>
      <c r="G63" s="34"/>
      <c r="H63" s="34"/>
    </row>
    <row r="64" spans="2:8" ht="12.75">
      <c r="B64" s="34"/>
      <c r="C64" s="34"/>
      <c r="G64" s="34"/>
      <c r="H64" s="34"/>
    </row>
    <row r="65" spans="2:8" ht="12.75">
      <c r="B65" s="34"/>
      <c r="C65" s="34"/>
      <c r="G65" s="34"/>
      <c r="H65" s="34"/>
    </row>
    <row r="66" spans="2:8" ht="12.75">
      <c r="B66" s="34"/>
      <c r="C66" s="34"/>
      <c r="G66" s="34"/>
      <c r="H66" s="34"/>
    </row>
    <row r="67" spans="2:8" ht="12.75">
      <c r="B67" s="34"/>
      <c r="C67" s="34"/>
      <c r="G67" s="34"/>
      <c r="H67" s="34"/>
    </row>
    <row r="68" spans="2:8" ht="12.75">
      <c r="B68" s="34"/>
      <c r="C68" s="34"/>
      <c r="G68" s="34"/>
      <c r="H68" s="34"/>
    </row>
    <row r="69" spans="2:8" ht="12.75">
      <c r="B69" s="34"/>
      <c r="C69" s="34"/>
      <c r="G69" s="34"/>
      <c r="H69" s="34"/>
    </row>
    <row r="70" spans="2:3" ht="12.75">
      <c r="B70" s="34"/>
      <c r="C70" s="34"/>
    </row>
    <row r="71" spans="2:3" ht="12.75">
      <c r="B71" s="34"/>
      <c r="C71" s="34"/>
    </row>
    <row r="72" spans="2:3" ht="12.75">
      <c r="B72" s="34"/>
      <c r="C72" s="34"/>
    </row>
    <row r="73" spans="2:3" ht="12.75">
      <c r="B73" s="34"/>
      <c r="C73" s="34"/>
    </row>
    <row r="74" spans="2:3" ht="12.75">
      <c r="B74" s="34"/>
      <c r="C74" s="34"/>
    </row>
    <row r="75" spans="2:3" ht="12.75">
      <c r="B75" s="34"/>
      <c r="C75" s="34"/>
    </row>
    <row r="76" spans="2:3" ht="12.75">
      <c r="B76" s="34"/>
      <c r="C76" s="34"/>
    </row>
    <row r="77" spans="2:3" ht="12.75">
      <c r="B77" s="34"/>
      <c r="C77" s="34"/>
    </row>
    <row r="78" spans="2:3" ht="12.75">
      <c r="B78" s="34"/>
      <c r="C78" s="34"/>
    </row>
    <row r="79" spans="2:3" ht="12.75">
      <c r="B79" s="34"/>
      <c r="C79" s="34"/>
    </row>
    <row r="80" spans="2:3" ht="12.75">
      <c r="B80" s="34"/>
      <c r="C80" s="34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0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2019-07-02T05:19:23Z</cp:lastPrinted>
  <dcterms:created xsi:type="dcterms:W3CDTF">2001-02-19T07:45:56Z</dcterms:created>
  <dcterms:modified xsi:type="dcterms:W3CDTF">2019-07-02T05:20:11Z</dcterms:modified>
  <cp:category/>
  <cp:version/>
  <cp:contentType/>
  <cp:contentStatus/>
</cp:coreProperties>
</file>